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ayloadVsDV" sheetId="1" r:id="rId1"/>
    <sheet name="ShipDV" sheetId="2" r:id="rId2"/>
    <sheet name="Cost" sheetId="3" r:id="rId3"/>
    <sheet name="Falcon5" sheetId="4" r:id="rId4"/>
    <sheet name="Mass in LEO" sheetId="5" r:id="rId5"/>
    <sheet name="Gather" sheetId="6" r:id="rId6"/>
    <sheet name="DevEst" sheetId="7" r:id="rId7"/>
    <sheet name="IdealV" sheetId="8" r:id="rId8"/>
    <sheet name="Loss" sheetId="9" r:id="rId9"/>
    <sheet name="ISP" sheetId="10" r:id="rId10"/>
    <sheet name="BattChg" sheetId="11" r:id="rId11"/>
    <sheet name="Dollar_LB" sheetId="12" r:id="rId12"/>
    <sheet name="CostLb" sheetId="13" r:id="rId13"/>
  </sheets>
  <externalReferences>
    <externalReference r:id="rId16"/>
  </externalReferences>
  <definedNames>
    <definedName name="_xlnm.Print_Area" localSheetId="10">'BattChg'!$A:$IV</definedName>
    <definedName name="_xlnm.Print_Area" localSheetId="3">'Falcon5'!$A$1:$Y$126</definedName>
    <definedName name="_xlnm.Print_Area" localSheetId="7">'IdealV'!$A:$IV</definedName>
    <definedName name="_xlnm.Print_Area" localSheetId="9">'ISP'!$A:$IV</definedName>
    <definedName name="_xlnm.Print_Area" localSheetId="8">'Loss'!$A:$IV</definedName>
    <definedName name="TABLE" localSheetId="10">'BattChg'!#REF!</definedName>
    <definedName name="TABLE" localSheetId="9">'ISP'!#REF!</definedName>
    <definedName name="TABLE_2" localSheetId="10">'BattChg'!#REF!</definedName>
    <definedName name="TABLE_2" localSheetId="9">'ISP'!#REF!</definedName>
    <definedName name="TABLE_3" localSheetId="10">'BattChg'!#REF!</definedName>
    <definedName name="TABLE_3" localSheetId="9">'ISP'!#REF!</definedName>
    <definedName name="TABLE_4" localSheetId="10">'BattChg'!#REF!</definedName>
    <definedName name="TABLE_4" localSheetId="9">'ISP'!#REF!</definedName>
  </definedNames>
  <calcPr fullCalcOnLoad="1"/>
</workbook>
</file>

<file path=xl/sharedStrings.xml><?xml version="1.0" encoding="utf-8"?>
<sst xmlns="http://schemas.openxmlformats.org/spreadsheetml/2006/main" count="574" uniqueCount="390">
  <si>
    <t>Earth</t>
  </si>
  <si>
    <t>GravK3/s2</t>
  </si>
  <si>
    <t>Trapeze Alt</t>
  </si>
  <si>
    <t>Sqrt(GrvK)</t>
  </si>
  <si>
    <t>Ap Alt</t>
  </si>
  <si>
    <t>Peri Alt</t>
  </si>
  <si>
    <t>PE</t>
  </si>
  <si>
    <t>Days</t>
  </si>
  <si>
    <t>Radius</t>
  </si>
  <si>
    <t>Ball Alt</t>
  </si>
  <si>
    <t>V Ballast</t>
  </si>
  <si>
    <t>Circ V</t>
  </si>
  <si>
    <t>CM Alt</t>
  </si>
  <si>
    <t>cm/s^2</t>
  </si>
  <si>
    <t>Ship</t>
  </si>
  <si>
    <t>Payload</t>
  </si>
  <si>
    <t>Fuel</t>
  </si>
  <si>
    <t>GLOW</t>
  </si>
  <si>
    <t>ISPK1LAP</t>
  </si>
  <si>
    <t>Rotation</t>
  </si>
  <si>
    <t>Loss</t>
  </si>
  <si>
    <t>Approx V</t>
  </si>
  <si>
    <t>Tether V</t>
  </si>
  <si>
    <t>Ideal DV</t>
  </si>
  <si>
    <t>TE CM</t>
  </si>
  <si>
    <t>V-1 SSTT can carry 4 ton</t>
  </si>
  <si>
    <t>Tons-200km</t>
  </si>
  <si>
    <t>Port time</t>
  </si>
  <si>
    <t>AM</t>
  </si>
  <si>
    <t>PM</t>
  </si>
  <si>
    <t>Passes</t>
  </si>
  <si>
    <t>PV</t>
  </si>
  <si>
    <t>W/kg  (or kW/ton)</t>
  </si>
  <si>
    <t>Tether</t>
  </si>
  <si>
    <t>cost/watt</t>
  </si>
  <si>
    <t>grapple</t>
  </si>
  <si>
    <t xml:space="preserve">Ballast </t>
  </si>
  <si>
    <t>Stage 2</t>
  </si>
  <si>
    <t>Passes!</t>
  </si>
  <si>
    <t>Orbit</t>
  </si>
  <si>
    <t xml:space="preserve">km Altitude </t>
  </si>
  <si>
    <t>Tether length</t>
  </si>
  <si>
    <t>Mins/orb</t>
  </si>
  <si>
    <t>$/lb</t>
  </si>
  <si>
    <t>Hours/orb</t>
  </si>
  <si>
    <t>orbits per day</t>
  </si>
  <si>
    <t>Orbit - space port</t>
  </si>
  <si>
    <t>Space port moves</t>
  </si>
  <si>
    <t>SSTT $ K</t>
  </si>
  <si>
    <t>Initial</t>
  </si>
  <si>
    <t>Ballast</t>
  </si>
  <si>
    <t>100 T = 2 ton py</t>
  </si>
  <si>
    <t>Recover</t>
  </si>
  <si>
    <t>Tons PV</t>
  </si>
  <si>
    <t>Hrs/launch</t>
  </si>
  <si>
    <t>Mass Tons</t>
  </si>
  <si>
    <t>hours</t>
  </si>
  <si>
    <t xml:space="preserve">Hours </t>
  </si>
  <si>
    <t>trips</t>
  </si>
  <si>
    <t>M Launch</t>
  </si>
  <si>
    <t>M Cost PV</t>
  </si>
  <si>
    <t>Maximum payload</t>
  </si>
  <si>
    <t>Workhorse</t>
  </si>
  <si>
    <t>SSTT py</t>
  </si>
  <si>
    <t>Energy</t>
  </si>
  <si>
    <t>workhorse</t>
  </si>
  <si>
    <t>initial</t>
  </si>
  <si>
    <t>Gross cost</t>
  </si>
  <si>
    <t>per pound gross</t>
  </si>
  <si>
    <t>M/launch</t>
  </si>
  <si>
    <t>MPH</t>
  </si>
  <si>
    <t>KPH</t>
  </si>
  <si>
    <t>Kps</t>
  </si>
  <si>
    <t>Clear Pipeline</t>
  </si>
  <si>
    <t>Goal - catch with tether - 4 ton gross catch!</t>
  </si>
  <si>
    <t>kW/ton</t>
  </si>
  <si>
    <t>kW PV</t>
  </si>
  <si>
    <t>PV tons</t>
  </si>
  <si>
    <t>KW PV</t>
  </si>
  <si>
    <t>M</t>
  </si>
  <si>
    <t>Income/day</t>
  </si>
  <si>
    <t>Tons</t>
  </si>
  <si>
    <t>$/kg</t>
  </si>
  <si>
    <t>SSTT investment</t>
  </si>
  <si>
    <t>Passengers</t>
  </si>
  <si>
    <t>Crowded</t>
  </si>
  <si>
    <t>kg payload</t>
  </si>
  <si>
    <t>overhead</t>
  </si>
  <si>
    <t>Net available</t>
  </si>
  <si>
    <t>Mass / person Avg</t>
  </si>
  <si>
    <t>People max</t>
  </si>
  <si>
    <t>Crew</t>
  </si>
  <si>
    <t>Paying passengers</t>
  </si>
  <si>
    <t>Flights/day</t>
  </si>
  <si>
    <t>$/each</t>
  </si>
  <si>
    <t>Build a second tether - double the flight rate?</t>
  </si>
  <si>
    <t>tons tether</t>
  </si>
  <si>
    <t>tons ballast &amp; PV</t>
  </si>
  <si>
    <t>Flights</t>
  </si>
  <si>
    <t>Fuel $/lb</t>
  </si>
  <si>
    <t>Fuel cost</t>
  </si>
  <si>
    <t>M / PV expensive</t>
  </si>
  <si>
    <t>2 ton payload, if 100 ton ballast: 10.68 tons of tether</t>
  </si>
  <si>
    <t>Pay off each year</t>
  </si>
  <si>
    <t>M Cost Ion</t>
  </si>
  <si>
    <t>$/Kg</t>
  </si>
  <si>
    <t>Units</t>
  </si>
  <si>
    <t>Each</t>
  </si>
  <si>
    <t>Kyocera</t>
  </si>
  <si>
    <t>watts needed</t>
  </si>
  <si>
    <t>watts per panel</t>
  </si>
  <si>
    <t xml:space="preserve"> @ 5/watt</t>
  </si>
  <si>
    <t>Fuel is noise until fly 14 / day</t>
  </si>
  <si>
    <t>M Spect 2K</t>
  </si>
  <si>
    <t>Build Tether</t>
  </si>
  <si>
    <t>Until we fly 14 /day, the per flight costs are small compared to amortizing the investment.</t>
  </si>
  <si>
    <t>Sample times / PV needs</t>
  </si>
  <si>
    <t>Hrs/GTO repair</t>
  </si>
  <si>
    <t>GTO</t>
  </si>
  <si>
    <t>Trapeze</t>
  </si>
  <si>
    <t>Toss max</t>
  </si>
  <si>
    <t>lb</t>
  </si>
  <si>
    <t>Mi</t>
  </si>
  <si>
    <t>Lb/gal</t>
  </si>
  <si>
    <t>Fuel Lb</t>
  </si>
  <si>
    <t>Fuel -gal</t>
  </si>
  <si>
    <t>Max load</t>
  </si>
  <si>
    <t xml:space="preserve">Wings </t>
  </si>
  <si>
    <t>Can upgrade if traffic will pay for it.</t>
  </si>
  <si>
    <t>$M / passenger</t>
  </si>
  <si>
    <t>Gross,$M</t>
  </si>
  <si>
    <t>Annual</t>
  </si>
  <si>
    <t>hours for GTO orbit</t>
  </si>
  <si>
    <t>Maximum toss</t>
  </si>
  <si>
    <t>Trip is 3+ days</t>
  </si>
  <si>
    <t>Trip is 4 days</t>
  </si>
  <si>
    <t>Mass</t>
  </si>
  <si>
    <t>Ball/30</t>
  </si>
  <si>
    <t>Days/week</t>
  </si>
  <si>
    <t>Weeks/Yr</t>
  </si>
  <si>
    <t>Build Costs</t>
  </si>
  <si>
    <t>NASA Launch Vehicle Cost Estimator</t>
  </si>
  <si>
    <t>Manned Space craft</t>
  </si>
  <si>
    <t>Number</t>
  </si>
  <si>
    <t>Devel $M</t>
  </si>
  <si>
    <t>Produce</t>
  </si>
  <si>
    <t>Each $M</t>
  </si>
  <si>
    <t>Net</t>
  </si>
  <si>
    <t>Launch Veh Stg</t>
  </si>
  <si>
    <t>Each /5</t>
  </si>
  <si>
    <t xml:space="preserve">Unmanned Earth Orbiting </t>
  </si>
  <si>
    <t>Heavy booster (Mars launch 40 tons, scale up by 10x)</t>
  </si>
  <si>
    <t>NASA Space Launch Vehicle Cost Estimator</t>
  </si>
  <si>
    <t>Manned Space Craft</t>
  </si>
  <si>
    <t>Cost $M</t>
  </si>
  <si>
    <t>Cost EA</t>
  </si>
  <si>
    <t>Divide 5</t>
  </si>
  <si>
    <t>Launch Vehicle Stage</t>
  </si>
  <si>
    <t>North</t>
  </si>
  <si>
    <t>East</t>
  </si>
  <si>
    <t xml:space="preserve">US Launch  Kwajalein </t>
  </si>
  <si>
    <t>US Equatorial launch!</t>
  </si>
  <si>
    <t>Note that the inertial orbit is not a siderial orbit!</t>
  </si>
  <si>
    <t>Sync with payloads needs to worry about inertial orbits</t>
  </si>
  <si>
    <t>$per unit</t>
  </si>
  <si>
    <t>J/kg</t>
  </si>
  <si>
    <t>Drag/Toss</t>
  </si>
  <si>
    <t>Overhead of space port is not perigee overhead,</t>
  </si>
  <si>
    <t>Unless alter orbit - release will impact perigee</t>
  </si>
  <si>
    <t>Hall</t>
  </si>
  <si>
    <t>Russian</t>
  </si>
  <si>
    <t>Hours repair</t>
  </si>
  <si>
    <t>Max toss</t>
  </si>
  <si>
    <t>Tot E</t>
  </si>
  <si>
    <t xml:space="preserve">This table assumes fuel cost of </t>
  </si>
  <si>
    <t>panels</t>
  </si>
  <si>
    <t>Tot Watts</t>
  </si>
  <si>
    <t>Toss</t>
  </si>
  <si>
    <t>mass</t>
  </si>
  <si>
    <t>Rad Sq</t>
  </si>
  <si>
    <t>Perigee</t>
  </si>
  <si>
    <t>V perigee</t>
  </si>
  <si>
    <t>Apogee</t>
  </si>
  <si>
    <t>V apogee</t>
  </si>
  <si>
    <t xml:space="preserve">ecc </t>
  </si>
  <si>
    <t>axis</t>
  </si>
  <si>
    <t>Per (min)</t>
  </si>
  <si>
    <t>C3</t>
  </si>
  <si>
    <t>Hyp excess</t>
  </si>
  <si>
    <t>GEO</t>
  </si>
  <si>
    <t>Deficit</t>
  </si>
  <si>
    <t>Parabolic velocity at 930 km altitude</t>
  </si>
  <si>
    <t>Take off - what energy penalty for 100 km vs 150 km?</t>
  </si>
  <si>
    <t>Separate tether, pick up and toss directly from LEO</t>
  </si>
  <si>
    <t>SSTT supplied</t>
  </si>
  <si>
    <t>Gross C3 from SSTT</t>
  </si>
  <si>
    <t>Tether Len</t>
  </si>
  <si>
    <t>CM</t>
  </si>
  <si>
    <t>CM altitude</t>
  </si>
  <si>
    <t>Toss altitude</t>
  </si>
  <si>
    <t>Toss 4-10  tons</t>
  </si>
  <si>
    <t>Toss 1 ton</t>
  </si>
  <si>
    <t>Net DV</t>
  </si>
  <si>
    <t>DV repair</t>
  </si>
  <si>
    <t>KM</t>
  </si>
  <si>
    <t>Acc m/s^2</t>
  </si>
  <si>
    <t>KE = 1/2 * m * v^2 - kg, m = joules</t>
  </si>
  <si>
    <t xml:space="preserve">ISP of </t>
  </si>
  <si>
    <t>Thrust = mass * velocity</t>
  </si>
  <si>
    <t>Newtons</t>
  </si>
  <si>
    <t>ISP</t>
  </si>
  <si>
    <t>Exh Vel</t>
  </si>
  <si>
    <t>Thrust</t>
  </si>
  <si>
    <t>Joules</t>
  </si>
  <si>
    <t>Input</t>
  </si>
  <si>
    <t>Eff</t>
  </si>
  <si>
    <t>kg/day</t>
  </si>
  <si>
    <t>V=g*ISP</t>
  </si>
  <si>
    <t>KG/day</t>
  </si>
  <si>
    <t>KG/hr</t>
  </si>
  <si>
    <t>Momentum</t>
  </si>
  <si>
    <t>Vel</t>
  </si>
  <si>
    <t>Canaveral</t>
  </si>
  <si>
    <t>Compute fuel if DV specified</t>
  </si>
  <si>
    <t>DV-rend</t>
  </si>
  <si>
    <t>MP(DRY)</t>
  </si>
  <si>
    <t>Fuel/glow</t>
  </si>
  <si>
    <t>OV</t>
  </si>
  <si>
    <t>Compute DV, if fuel, masses specified</t>
  </si>
  <si>
    <t>Gravity</t>
  </si>
  <si>
    <t>ISP mulitply</t>
  </si>
  <si>
    <t>KG / payload</t>
  </si>
  <si>
    <t>Vel Surface</t>
  </si>
  <si>
    <t>Need this</t>
  </si>
  <si>
    <t>Aldrin LEO - LBH pg 184</t>
  </si>
  <si>
    <t>Look for 100 km values</t>
  </si>
  <si>
    <t>To Tether</t>
  </si>
  <si>
    <t>CheapPV</t>
  </si>
  <si>
    <t>Hall units base</t>
  </si>
  <si>
    <t>Hall units, GTO 24</t>
  </si>
  <si>
    <t>Momentum repair takes longer than this.  Rotation means wire NOT cross Magnetic lines ~ 50%</t>
  </si>
  <si>
    <t>GEO catch GTO</t>
  </si>
  <si>
    <t>GEO Mars toss</t>
  </si>
  <si>
    <t>Total</t>
  </si>
  <si>
    <t>Ballast &amp;?</t>
  </si>
  <si>
    <t>GTO Initial</t>
  </si>
  <si>
    <t>AT GTO-GEO</t>
  </si>
  <si>
    <t xml:space="preserve">Sim </t>
  </si>
  <si>
    <t>Sanity-PV</t>
  </si>
  <si>
    <t>Kg Hall initially, noise in 2.9 tons? NO</t>
  </si>
  <si>
    <t>Hoyt EDT</t>
  </si>
  <si>
    <t>Newtons/watt</t>
  </si>
  <si>
    <t>KW</t>
  </si>
  <si>
    <t>Sanity</t>
  </si>
  <si>
    <t xml:space="preserve">Newtons </t>
  </si>
  <si>
    <t>Accel - m/s^2</t>
  </si>
  <si>
    <t>day</t>
  </si>
  <si>
    <t>Total Hall mass</t>
  </si>
  <si>
    <t>Weeks</t>
  </si>
  <si>
    <t>Batteries</t>
  </si>
  <si>
    <t>Hr</t>
  </si>
  <si>
    <t>KWHr</t>
  </si>
  <si>
    <t>Whr/kg</t>
  </si>
  <si>
    <t>Kg</t>
  </si>
  <si>
    <t>Charge</t>
  </si>
  <si>
    <t>PVW/Battkg</t>
  </si>
  <si>
    <t>Batt ~ 12x punch</t>
  </si>
  <si>
    <t>Acc</t>
  </si>
  <si>
    <t>DV</t>
  </si>
  <si>
    <t>NASA</t>
  </si>
  <si>
    <t>Market ?</t>
  </si>
  <si>
    <t>Each incr</t>
  </si>
  <si>
    <t>Tons of PV</t>
  </si>
  <si>
    <t>Final</t>
  </si>
  <si>
    <t>Full Seed</t>
  </si>
  <si>
    <t>No batt</t>
  </si>
  <si>
    <t>Avg pwrKW</t>
  </si>
  <si>
    <t>Kinetec Energy</t>
  </si>
  <si>
    <t>Vincent book, 11  people, 4000 kg is OK</t>
  </si>
  <si>
    <t xml:space="preserve">Need 1 m^3 / person </t>
  </si>
  <si>
    <t>Length</t>
  </si>
  <si>
    <t>M^3</t>
  </si>
  <si>
    <t>top</t>
  </si>
  <si>
    <t>max altitude</t>
  </si>
  <si>
    <t>Gross</t>
  </si>
  <si>
    <t>Vector Est</t>
  </si>
  <si>
    <t>One Ton</t>
  </si>
  <si>
    <t>Two Ton</t>
  </si>
  <si>
    <t>Three ton</t>
  </si>
  <si>
    <t>Four ton</t>
  </si>
  <si>
    <t xml:space="preserve">Can do </t>
  </si>
  <si>
    <t>per day</t>
  </si>
  <si>
    <t>Tonnage</t>
  </si>
  <si>
    <t>Could be wise to stay at 2 ton?</t>
  </si>
  <si>
    <t>Slightly faster.</t>
  </si>
  <si>
    <t>MoonToss</t>
  </si>
  <si>
    <t>SpaceX</t>
  </si>
  <si>
    <t>Sim factor</t>
  </si>
  <si>
    <t>tether</t>
  </si>
  <si>
    <t>Aldrin</t>
  </si>
  <si>
    <t>Equatorial</t>
  </si>
  <si>
    <t>LBs converted to KG</t>
  </si>
  <si>
    <t>Zenit Sea Launch</t>
  </si>
  <si>
    <t xml:space="preserve">Sanity </t>
  </si>
  <si>
    <t>RP</t>
  </si>
  <si>
    <t>LOX</t>
  </si>
  <si>
    <t>Shell/fuel</t>
  </si>
  <si>
    <t>Stage1</t>
  </si>
  <si>
    <t>Blk DM-sl</t>
  </si>
  <si>
    <t>Payload 200km 51.6</t>
  </si>
  <si>
    <t>Payld/ship</t>
  </si>
  <si>
    <t>est stg 2</t>
  </si>
  <si>
    <t>Est Stg 1</t>
  </si>
  <si>
    <t>Spectra quoted 80/kg Pete Lynn  9/24/03 Rotovator thread on sci.space.policy</t>
  </si>
  <si>
    <t>SSTT by itself</t>
  </si>
  <si>
    <t>Combined</t>
  </si>
  <si>
    <t>AIAA 98 0983 Electrodynamei Tethers, offered 0.8 N for 10 KW</t>
  </si>
  <si>
    <t>N</t>
  </si>
  <si>
    <t>N/kW</t>
  </si>
  <si>
    <t>kW</t>
  </si>
  <si>
    <t>Rota/Batt</t>
  </si>
  <si>
    <t>Tether Development</t>
  </si>
  <si>
    <t>Harpoon</t>
  </si>
  <si>
    <t>Space  Tug</t>
  </si>
  <si>
    <t>Solar Cells</t>
  </si>
  <si>
    <t>Years</t>
  </si>
  <si>
    <t>I can find an orbit (with perigee below the surface) that has the right velocity at apogee of 100 km.</t>
  </si>
  <si>
    <t>Then we can find what the velocity would be as it passes the surface.</t>
  </si>
  <si>
    <t>That velocity is at an angle - don't know what the angle is - would be nice to find out how to compute it.</t>
  </si>
  <si>
    <t>I've estimated that the rotation of the Earth will contribute an effective 376 m/s toward this velocity.</t>
  </si>
  <si>
    <t>If we then allow Buzz Aldrin's 15% losses, I have a sanity check on what rocket DV would be necessary.</t>
  </si>
  <si>
    <t>ISP in Time  Build</t>
  </si>
  <si>
    <t>Hoyt / AIAA 98 0983</t>
  </si>
  <si>
    <t>Vincent Sim</t>
  </si>
  <si>
    <t>Sim got</t>
  </si>
  <si>
    <t>At 100 km</t>
  </si>
  <si>
    <t>At 180 km, Wanted 5.5 at 100- bungle</t>
  </si>
  <si>
    <t>Double- weave Hoytether</t>
  </si>
  <si>
    <t>Raise Perigee Ballast</t>
  </si>
  <si>
    <t>BattChg  in Time Build</t>
  </si>
  <si>
    <t>Hall/KW</t>
  </si>
  <si>
    <t>NiCd avail</t>
  </si>
  <si>
    <t>Insert Tether LEO</t>
  </si>
  <si>
    <t>Avg night, day</t>
  </si>
  <si>
    <t>With longer covered, could be 1.6?</t>
  </si>
  <si>
    <t>Alpha C</t>
  </si>
  <si>
    <t>speed</t>
  </si>
  <si>
    <t>Distance</t>
  </si>
  <si>
    <t>At this point 12/14 day joy rides are free!</t>
  </si>
  <si>
    <t>Max Payload</t>
  </si>
  <si>
    <t>Daily Payload</t>
  </si>
  <si>
    <t>Free Mkt</t>
  </si>
  <si>
    <t>Devel</t>
  </si>
  <si>
    <t>SpaceX F5</t>
  </si>
  <si>
    <t>Only for Initial</t>
  </si>
  <si>
    <t>days</t>
  </si>
  <si>
    <t>.2 EDT .1Grapple</t>
  </si>
  <si>
    <t>Handle 2 tons</t>
  </si>
  <si>
    <t>Moment</t>
  </si>
  <si>
    <t>Avg</t>
  </si>
  <si>
    <t>Falcon 5</t>
  </si>
  <si>
    <t>Assumptions</t>
  </si>
  <si>
    <t>SSTT Development</t>
  </si>
  <si>
    <t>Build fleet of 10 SSTTs</t>
  </si>
  <si>
    <t>Flight overhead, (1% of build)</t>
  </si>
  <si>
    <t xml:space="preserve">Total per flight costs of about </t>
  </si>
  <si>
    <t>41.2 in 12/21 doc</t>
  </si>
  <si>
    <t>41.4 in 12/21</t>
  </si>
  <si>
    <t>41.5 in 12/21</t>
  </si>
  <si>
    <t>Falcon 5 launch</t>
  </si>
  <si>
    <t>Hall Ion thrusters</t>
  </si>
  <si>
    <t>Spectra for tethers</t>
  </si>
  <si>
    <t>Not true! If Per flight is 120K and amortize is 100 K</t>
  </si>
  <si>
    <t>Total Flight</t>
  </si>
  <si>
    <t>Trips</t>
  </si>
  <si>
    <t>SSTT launch (incremental Flight Costs)</t>
  </si>
  <si>
    <t>outward trips</t>
  </si>
  <si>
    <t>Available</t>
  </si>
  <si>
    <t>Total Cost</t>
  </si>
  <si>
    <t>Fixed share</t>
  </si>
  <si>
    <t>Incremental</t>
  </si>
  <si>
    <t>LEO tether</t>
  </si>
  <si>
    <t>Tether Mass</t>
  </si>
  <si>
    <t>Reconfigure</t>
  </si>
  <si>
    <t>Temp1 LEO tether</t>
  </si>
  <si>
    <t>Temp2 LEO tether</t>
  </si>
  <si>
    <t>Fly 1 180</t>
  </si>
  <si>
    <t>Fly 2</t>
  </si>
  <si>
    <t>Fly 4</t>
  </si>
  <si>
    <t>Fly 14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</si>
</sst>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%"/>
    <numFmt numFmtId="169" formatCode="0.000000"/>
    <numFmt numFmtId="170" formatCode="0.0_)"/>
    <numFmt numFmtId="171" formatCode="0.000_)"/>
    <numFmt numFmtId="172" formatCode="0_)"/>
    <numFmt numFmtId="173" formatCode="0.0000_)"/>
    <numFmt numFmtId="174" formatCode="0.000%"/>
    <numFmt numFmtId="175" formatCode="0.00_)"/>
    <numFmt numFmtId="176" formatCode="0.0000E+00;\ĝ"/>
    <numFmt numFmtId="177" formatCode="0.0000E+00;\叐"/>
    <numFmt numFmtId="178" formatCode="0.000E+00;\叐"/>
    <numFmt numFmtId="179" formatCode="m/d/yy"/>
    <numFmt numFmtId="180" formatCode="#,##0.0"/>
    <numFmt numFmtId="181" formatCode="0.00000000000000000"/>
    <numFmt numFmtId="182" formatCode="0.00000000"/>
    <numFmt numFmtId="183" formatCode="0.0000000"/>
    <numFmt numFmtId="184" formatCode="0.0000E+00;\㲤"/>
    <numFmt numFmtId="185" formatCode="0.0000E+00;\֐"/>
    <numFmt numFmtId="186" formatCode="0.0000E+00;\⿜"/>
    <numFmt numFmtId="187" formatCode="0.000E+00"/>
    <numFmt numFmtId="188" formatCode="0.0000E+00"/>
    <numFmt numFmtId="189" formatCode="0.0000E+00;\㶜"/>
    <numFmt numFmtId="190" formatCode="0.0000E+00;\嶤"/>
    <numFmt numFmtId="191" formatCode="0.000E+00;\嶤"/>
    <numFmt numFmtId="192" formatCode="0.00000E+00"/>
    <numFmt numFmtId="193" formatCode="0.0E+00"/>
    <numFmt numFmtId="194" formatCode="0.00E+00;\嶤"/>
    <numFmt numFmtId="195" formatCode="0.000E+00;\֐"/>
    <numFmt numFmtId="196" formatCode="0.00E+00;\֐"/>
    <numFmt numFmtId="197" formatCode="#,##0.000"/>
    <numFmt numFmtId="198" formatCode="0.0000E+00;\ࣴ"/>
    <numFmt numFmtId="199" formatCode="0.000E+00;\ࣴ"/>
    <numFmt numFmtId="200" formatCode="0.00E+00;\ࣴ"/>
    <numFmt numFmtId="201" formatCode="_(&quot;$&quot;* #,##0_);_(&quot;$&quot;* \(#,##0\);_(&quot;$&quot;* &quot;-&quot;??_);_(@_)"/>
    <numFmt numFmtId="202" formatCode="&quot;$&quot;#,##0.00"/>
    <numFmt numFmtId="203" formatCode="0_);\(0\)"/>
    <numFmt numFmtId="204" formatCode="_(&quot;$&quot;* #,##0.0_);_(&quot;$&quot;* \(#,##0.0\);_(&quot;$&quot;* &quot;-&quot;??_);_(@_)"/>
    <numFmt numFmtId="205" formatCode="&quot;$&quot;#,##0"/>
    <numFmt numFmtId="206" formatCode="&quot;$&quot;#,##0.0"/>
    <numFmt numFmtId="207" formatCode="m/d"/>
    <numFmt numFmtId="208" formatCode="_(* #,##0.0_);_(* \(#,##0.0\);_(* &quot;-&quot;??_);_(@_)"/>
    <numFmt numFmtId="209" formatCode="_(* #,##0.0_);_(* \(#,##0.0\);_(* &quot;-&quot;?_);_(@_)"/>
    <numFmt numFmtId="210" formatCode="0.0000000000000000"/>
    <numFmt numFmtId="211" formatCode="0.000000000000000"/>
    <numFmt numFmtId="212" formatCode="0.00000000000000"/>
    <numFmt numFmtId="213" formatCode="0.0000000000000"/>
    <numFmt numFmtId="214" formatCode="_(* #,##0_);_(* \(#,##0\);_(* &quot;-&quot;??_);_(@_)"/>
    <numFmt numFmtId="215" formatCode="&quot;$&quot;#,##0.0_);[Red]\(&quot;$&quot;#,##0.0\)"/>
    <numFmt numFmtId="216" formatCode="0.0000E+00;\椘"/>
    <numFmt numFmtId="217" formatCode="0.0000E+00;\ᵸ"/>
    <numFmt numFmtId="218" formatCode="0.0E+00;\᧬"/>
    <numFmt numFmtId="219" formatCode="0.0E+00;\膌"/>
    <numFmt numFmtId="220" formatCode="#,##0.0000"/>
    <numFmt numFmtId="221" formatCode="0.000000000000"/>
    <numFmt numFmtId="222" formatCode="0.00_);\(0.00\)"/>
    <numFmt numFmtId="223" formatCode="0.000_);\(0.00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1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9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68" fontId="0" fillId="0" borderId="0" xfId="21" applyNumberFormat="1" applyFont="1" applyAlignment="1">
      <alignment/>
    </xf>
    <xf numFmtId="2" fontId="0" fillId="0" borderId="0" xfId="21" applyNumberFormat="1" applyAlignment="1">
      <alignment/>
    </xf>
    <xf numFmtId="4" fontId="0" fillId="0" borderId="0" xfId="0" applyNumberFormat="1" applyAlignment="1">
      <alignment/>
    </xf>
    <xf numFmtId="201" fontId="0" fillId="0" borderId="0" xfId="17" applyNumberFormat="1" applyAlignment="1">
      <alignment/>
    </xf>
    <xf numFmtId="205" fontId="0" fillId="0" borderId="0" xfId="0" applyNumberFormat="1" applyAlignment="1">
      <alignment/>
    </xf>
    <xf numFmtId="10" fontId="0" fillId="0" borderId="0" xfId="21" applyNumberFormat="1" applyAlignment="1">
      <alignment/>
    </xf>
    <xf numFmtId="204" fontId="1" fillId="0" borderId="0" xfId="17" applyNumberFormat="1" applyFont="1" applyAlignment="1">
      <alignment/>
    </xf>
    <xf numFmtId="204" fontId="1" fillId="0" borderId="0" xfId="0" applyNumberFormat="1" applyFont="1" applyAlignment="1">
      <alignment/>
    </xf>
    <xf numFmtId="214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6" fontId="0" fillId="0" borderId="0" xfId="0" applyNumberFormat="1" applyAlignment="1">
      <alignment/>
    </xf>
    <xf numFmtId="214" fontId="0" fillId="0" borderId="0" xfId="17" applyNumberFormat="1" applyAlignment="1">
      <alignment/>
    </xf>
    <xf numFmtId="201" fontId="0" fillId="0" borderId="0" xfId="17" applyNumberFormat="1" applyAlignment="1">
      <alignment horizontal="right"/>
    </xf>
    <xf numFmtId="215" fontId="1" fillId="0" borderId="0" xfId="0" applyNumberFormat="1" applyFont="1" applyAlignment="1">
      <alignment/>
    </xf>
    <xf numFmtId="9" fontId="0" fillId="0" borderId="0" xfId="21" applyAlignment="1">
      <alignment/>
    </xf>
    <xf numFmtId="201" fontId="0" fillId="0" borderId="0" xfId="17" applyNumberFormat="1" applyAlignment="1">
      <alignment/>
    </xf>
    <xf numFmtId="204" fontId="0" fillId="0" borderId="0" xfId="17" applyNumberForma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217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220" fontId="1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44" fontId="1" fillId="0" borderId="0" xfId="17" applyFont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01" fontId="1" fillId="0" borderId="0" xfId="17" applyNumberFormat="1" applyFont="1" applyAlignment="1">
      <alignment/>
    </xf>
    <xf numFmtId="168" fontId="1" fillId="0" borderId="0" xfId="21" applyNumberFormat="1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21" applyNumberFormat="1" applyAlignment="1">
      <alignment/>
    </xf>
    <xf numFmtId="167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204" fontId="0" fillId="0" borderId="0" xfId="17" applyNumberFormat="1" applyFont="1" applyAlignment="1">
      <alignment/>
    </xf>
    <xf numFmtId="44" fontId="0" fillId="0" borderId="0" xfId="17" applyNumberFormat="1" applyFont="1" applyAlignment="1">
      <alignment/>
    </xf>
    <xf numFmtId="44" fontId="0" fillId="0" borderId="0" xfId="0" applyNumberFormat="1" applyAlignment="1">
      <alignment/>
    </xf>
    <xf numFmtId="44" fontId="1" fillId="0" borderId="0" xfId="17" applyNumberFormat="1" applyFont="1" applyAlignment="1">
      <alignment/>
    </xf>
    <xf numFmtId="203" fontId="0" fillId="0" borderId="0" xfId="15" applyNumberFormat="1" applyAlignment="1">
      <alignment/>
    </xf>
    <xf numFmtId="168" fontId="0" fillId="0" borderId="0" xfId="21" applyNumberFormat="1" applyAlignment="1">
      <alignment/>
    </xf>
    <xf numFmtId="180" fontId="1" fillId="0" borderId="0" xfId="0" applyNumberFormat="1" applyFont="1" applyAlignment="1">
      <alignment/>
    </xf>
    <xf numFmtId="223" fontId="1" fillId="0" borderId="0" xfId="17" applyNumberFormat="1" applyFont="1" applyAlignment="1">
      <alignment/>
    </xf>
    <xf numFmtId="0" fontId="2" fillId="0" borderId="0" xfId="0" applyFont="1" applyAlignment="1">
      <alignment/>
    </xf>
    <xf numFmtId="205" fontId="2" fillId="0" borderId="0" xfId="0" applyNumberFormat="1" applyFont="1" applyAlignment="1">
      <alignment/>
    </xf>
    <xf numFmtId="205" fontId="0" fillId="0" borderId="0" xfId="0" applyNumberFormat="1" applyFont="1" applyAlignment="1">
      <alignment/>
    </xf>
    <xf numFmtId="205" fontId="0" fillId="0" borderId="0" xfId="17" applyNumberFormat="1" applyAlignment="1">
      <alignment/>
    </xf>
    <xf numFmtId="20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TETHER" xfId="19"/>
    <cellStyle name="Normal_Wiggle29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chartsheet" Target="chartsheets/sheet3.xml" /><Relationship Id="rId13" Type="http://schemas.openxmlformats.org/officeDocument/2006/relationships/worksheet" Target="worksheets/sheet10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Payload vs DV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ShipDV!$B$7</c:f>
              <c:strCache>
                <c:ptCount val="1"/>
                <c:pt idx="0">
                  <c:v>Ideal DV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ShipDV!$A$8:$A$35</c:f>
              <c:numCache>
                <c:ptCount val="2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1</c:v>
                </c:pt>
                <c:pt idx="8">
                  <c:v>1.1</c:v>
                </c:pt>
                <c:pt idx="9">
                  <c:v>1.2</c:v>
                </c:pt>
                <c:pt idx="10">
                  <c:v>1.3</c:v>
                </c:pt>
                <c:pt idx="11">
                  <c:v>1.5</c:v>
                </c:pt>
                <c:pt idx="12">
                  <c:v>1.6</c:v>
                </c:pt>
                <c:pt idx="13">
                  <c:v>1.8</c:v>
                </c:pt>
                <c:pt idx="14">
                  <c:v>2</c:v>
                </c:pt>
                <c:pt idx="15">
                  <c:v>2.2</c:v>
                </c:pt>
                <c:pt idx="16">
                  <c:v>2.4</c:v>
                </c:pt>
                <c:pt idx="17">
                  <c:v>2.5</c:v>
                </c:pt>
                <c:pt idx="18">
                  <c:v>2.6</c:v>
                </c:pt>
                <c:pt idx="19">
                  <c:v>2.8</c:v>
                </c:pt>
                <c:pt idx="20">
                  <c:v>3</c:v>
                </c:pt>
                <c:pt idx="21">
                  <c:v>3.2</c:v>
                </c:pt>
                <c:pt idx="22">
                  <c:v>3.4</c:v>
                </c:pt>
                <c:pt idx="23">
                  <c:v>3.5</c:v>
                </c:pt>
                <c:pt idx="24">
                  <c:v>3.7</c:v>
                </c:pt>
                <c:pt idx="25">
                  <c:v>3.8</c:v>
                </c:pt>
                <c:pt idx="26">
                  <c:v>3.9</c:v>
                </c:pt>
                <c:pt idx="27">
                  <c:v>4</c:v>
                </c:pt>
              </c:numCache>
            </c:numRef>
          </c:xVal>
          <c:yVal>
            <c:numRef>
              <c:f>ShipDV!$B$8:$B$35</c:f>
              <c:numCache>
                <c:ptCount val="28"/>
                <c:pt idx="0">
                  <c:v>6.950299886275275</c:v>
                </c:pt>
                <c:pt idx="1">
                  <c:v>6.905589906195557</c:v>
                </c:pt>
                <c:pt idx="2">
                  <c:v>6.861629158677019</c:v>
                </c:pt>
                <c:pt idx="3">
                  <c:v>6.7758675635952885</c:v>
                </c:pt>
                <c:pt idx="4">
                  <c:v>6.734025159126556</c:v>
                </c:pt>
                <c:pt idx="5">
                  <c:v>6.692848768547779</c:v>
                </c:pt>
                <c:pt idx="6">
                  <c:v>6.652319725755912</c:v>
                </c:pt>
                <c:pt idx="7">
                  <c:v>6.573132791939023</c:v>
                </c:pt>
                <c:pt idx="8">
                  <c:v>6.534441221486245</c:v>
                </c:pt>
                <c:pt idx="9">
                  <c:v>6.496329566041202</c:v>
                </c:pt>
                <c:pt idx="10">
                  <c:v>6.458782590103314</c:v>
                </c:pt>
                <c:pt idx="11">
                  <c:v>6.385324621461353</c:v>
                </c:pt>
                <c:pt idx="12">
                  <c:v>6.349385958324923</c:v>
                </c:pt>
                <c:pt idx="13">
                  <c:v>6.279023892874456</c:v>
                </c:pt>
                <c:pt idx="14">
                  <c:v>6.210600453633283</c:v>
                </c:pt>
                <c:pt idx="15">
                  <c:v>6.144023572099718</c:v>
                </c:pt>
                <c:pt idx="16">
                  <c:v>6.07920747353565</c:v>
                </c:pt>
                <c:pt idx="17">
                  <c:v>6.047434495295961</c:v>
                </c:pt>
                <c:pt idx="18">
                  <c:v>6.016072117687636</c:v>
                </c:pt>
                <c:pt idx="19">
                  <c:v>5.954542700254544</c:v>
                </c:pt>
                <c:pt idx="20">
                  <c:v>5.894549207352791</c:v>
                </c:pt>
                <c:pt idx="21">
                  <c:v>5.836026016359453</c:v>
                </c:pt>
                <c:pt idx="22">
                  <c:v>5.7789115374585105</c:v>
                </c:pt>
                <c:pt idx="23">
                  <c:v>5.750864340883249</c:v>
                </c:pt>
                <c:pt idx="24">
                  <c:v>5.69575548486139</c:v>
                </c:pt>
                <c:pt idx="25">
                  <c:v>5.668680616526583</c:v>
                </c:pt>
                <c:pt idx="26">
                  <c:v>5.6419169695386575</c:v>
                </c:pt>
                <c:pt idx="27">
                  <c:v>5.615458409624982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ShipDV!$C$7</c:f>
              <c:strCache>
                <c:ptCount val="1"/>
                <c:pt idx="0">
                  <c:v>Approx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ShipDV!$A$8:$A$35</c:f>
              <c:numCache>
                <c:ptCount val="2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1</c:v>
                </c:pt>
                <c:pt idx="8">
                  <c:v>1.1</c:v>
                </c:pt>
                <c:pt idx="9">
                  <c:v>1.2</c:v>
                </c:pt>
                <c:pt idx="10">
                  <c:v>1.3</c:v>
                </c:pt>
                <c:pt idx="11">
                  <c:v>1.5</c:v>
                </c:pt>
                <c:pt idx="12">
                  <c:v>1.6</c:v>
                </c:pt>
                <c:pt idx="13">
                  <c:v>1.8</c:v>
                </c:pt>
                <c:pt idx="14">
                  <c:v>2</c:v>
                </c:pt>
                <c:pt idx="15">
                  <c:v>2.2</c:v>
                </c:pt>
                <c:pt idx="16">
                  <c:v>2.4</c:v>
                </c:pt>
                <c:pt idx="17">
                  <c:v>2.5</c:v>
                </c:pt>
                <c:pt idx="18">
                  <c:v>2.6</c:v>
                </c:pt>
                <c:pt idx="19">
                  <c:v>2.8</c:v>
                </c:pt>
                <c:pt idx="20">
                  <c:v>3</c:v>
                </c:pt>
                <c:pt idx="21">
                  <c:v>3.2</c:v>
                </c:pt>
                <c:pt idx="22">
                  <c:v>3.4</c:v>
                </c:pt>
                <c:pt idx="23">
                  <c:v>3.5</c:v>
                </c:pt>
                <c:pt idx="24">
                  <c:v>3.7</c:v>
                </c:pt>
                <c:pt idx="25">
                  <c:v>3.8</c:v>
                </c:pt>
                <c:pt idx="26">
                  <c:v>3.9</c:v>
                </c:pt>
                <c:pt idx="27">
                  <c:v>4</c:v>
                </c:pt>
              </c:numCache>
            </c:numRef>
          </c:xVal>
          <c:yVal>
            <c:numRef>
              <c:f>ShipDV!$C$8:$C$35</c:f>
              <c:numCache>
                <c:ptCount val="28"/>
                <c:pt idx="0">
                  <c:v>6.205624898460066</c:v>
                </c:pt>
                <c:pt idx="1">
                  <c:v>6.165705273388889</c:v>
                </c:pt>
                <c:pt idx="2">
                  <c:v>6.126454605961623</c:v>
                </c:pt>
                <c:pt idx="3">
                  <c:v>6.049881753210078</c:v>
                </c:pt>
                <c:pt idx="4">
                  <c:v>6.012522463505853</c:v>
                </c:pt>
                <c:pt idx="5">
                  <c:v>5.975757829060516</c:v>
                </c:pt>
                <c:pt idx="6">
                  <c:v>5.939571183710635</c:v>
                </c:pt>
                <c:pt idx="7">
                  <c:v>5.86886856423127</c:v>
                </c:pt>
                <c:pt idx="8">
                  <c:v>5.834322519184147</c:v>
                </c:pt>
                <c:pt idx="9">
                  <c:v>5.800294255393929</c:v>
                </c:pt>
                <c:pt idx="10">
                  <c:v>5.766770169735101</c:v>
                </c:pt>
                <c:pt idx="11">
                  <c:v>5.70118269773335</c:v>
                </c:pt>
                <c:pt idx="12">
                  <c:v>5.669094605647253</c:v>
                </c:pt>
                <c:pt idx="13">
                  <c:v>5.606271332923621</c:v>
                </c:pt>
                <c:pt idx="14">
                  <c:v>5.545178976458288</c:v>
                </c:pt>
                <c:pt idx="15">
                  <c:v>5.48573533223189</c:v>
                </c:pt>
                <c:pt idx="16">
                  <c:v>5.4278638156568295</c:v>
                </c:pt>
                <c:pt idx="17">
                  <c:v>5.399495085085679</c:v>
                </c:pt>
                <c:pt idx="18">
                  <c:v>5.371492962221103</c:v>
                </c:pt>
                <c:pt idx="19">
                  <c:v>5.3165559823701285</c:v>
                </c:pt>
                <c:pt idx="20">
                  <c:v>5.262990363707849</c:v>
                </c:pt>
                <c:pt idx="21">
                  <c:v>5.210737514606654</c:v>
                </c:pt>
                <c:pt idx="22">
                  <c:v>5.1597424441593835</c:v>
                </c:pt>
                <c:pt idx="23">
                  <c:v>5.134700304360043</c:v>
                </c:pt>
                <c:pt idx="24">
                  <c:v>5.08549596862624</c:v>
                </c:pt>
                <c:pt idx="25">
                  <c:v>5.061321979041591</c:v>
                </c:pt>
                <c:pt idx="26">
                  <c:v>5.0374258656595154</c:v>
                </c:pt>
                <c:pt idx="27">
                  <c:v>5.013802151450877</c:v>
                </c:pt>
              </c:numCache>
            </c:numRef>
          </c:yVal>
          <c:smooth val="1"/>
        </c:ser>
        <c:axId val="21671509"/>
        <c:axId val="60825854"/>
      </c:scatterChart>
      <c:valAx>
        <c:axId val="21671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Payload in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25854"/>
        <c:crosses val="autoZero"/>
        <c:crossBetween val="midCat"/>
        <c:dispUnits/>
      </c:valAx>
      <c:valAx>
        <c:axId val="60825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DV by SSTT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715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LEO tether Growth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Gather!$B$4</c:f>
              <c:strCache>
                <c:ptCount val="1"/>
                <c:pt idx="0">
                  <c:v>Max Payload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Gather!$A$5:$A$30</c:f>
              <c:numCache>
                <c:ptCount val="26"/>
                <c:pt idx="0">
                  <c:v>0.3</c:v>
                </c:pt>
                <c:pt idx="1">
                  <c:v>3.1</c:v>
                </c:pt>
                <c:pt idx="2">
                  <c:v>6.5</c:v>
                </c:pt>
                <c:pt idx="3">
                  <c:v>9.5</c:v>
                </c:pt>
                <c:pt idx="4">
                  <c:v>12.3</c:v>
                </c:pt>
                <c:pt idx="5">
                  <c:v>15.5</c:v>
                </c:pt>
                <c:pt idx="6">
                  <c:v>20.6</c:v>
                </c:pt>
                <c:pt idx="7">
                  <c:v>23.6</c:v>
                </c:pt>
                <c:pt idx="8">
                  <c:v>25</c:v>
                </c:pt>
                <c:pt idx="9">
                  <c:v>27.5</c:v>
                </c:pt>
                <c:pt idx="10">
                  <c:v>30.1</c:v>
                </c:pt>
                <c:pt idx="11">
                  <c:v>32.1</c:v>
                </c:pt>
                <c:pt idx="12">
                  <c:v>35.3</c:v>
                </c:pt>
                <c:pt idx="13">
                  <c:v>37.900000000000006</c:v>
                </c:pt>
                <c:pt idx="14">
                  <c:v>40.400000000000006</c:v>
                </c:pt>
                <c:pt idx="15">
                  <c:v>43.2</c:v>
                </c:pt>
                <c:pt idx="16">
                  <c:v>47</c:v>
                </c:pt>
                <c:pt idx="17">
                  <c:v>50.400000000000006</c:v>
                </c:pt>
                <c:pt idx="18">
                  <c:v>53.1</c:v>
                </c:pt>
                <c:pt idx="19">
                  <c:v>67.9</c:v>
                </c:pt>
                <c:pt idx="20">
                  <c:v>75.9</c:v>
                </c:pt>
                <c:pt idx="21">
                  <c:v>80.9</c:v>
                </c:pt>
                <c:pt idx="22">
                  <c:v>81.60000000000001</c:v>
                </c:pt>
                <c:pt idx="23">
                  <c:v>83.5</c:v>
                </c:pt>
                <c:pt idx="24">
                  <c:v>86.30000000000001</c:v>
                </c:pt>
                <c:pt idx="25">
                  <c:v>89.80000000000001</c:v>
                </c:pt>
              </c:numCache>
            </c:numRef>
          </c:xVal>
          <c:yVal>
            <c:numRef>
              <c:f>Gather!$B$5:$B$30</c:f>
              <c:numCache>
                <c:ptCount val="26"/>
                <c:pt idx="0">
                  <c:v>0.2</c:v>
                </c:pt>
                <c:pt idx="1">
                  <c:v>0.30000000000000004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0.7999999999999999</c:v>
                </c:pt>
                <c:pt idx="6">
                  <c:v>0.7999999999999999</c:v>
                </c:pt>
                <c:pt idx="8">
                  <c:v>0.5</c:v>
                </c:pt>
                <c:pt idx="9">
                  <c:v>0.65</c:v>
                </c:pt>
                <c:pt idx="10">
                  <c:v>0.75</c:v>
                </c:pt>
                <c:pt idx="11">
                  <c:v>0.75</c:v>
                </c:pt>
                <c:pt idx="12">
                  <c:v>1</c:v>
                </c:pt>
                <c:pt idx="13">
                  <c:v>1.1</c:v>
                </c:pt>
                <c:pt idx="14">
                  <c:v>1.3</c:v>
                </c:pt>
                <c:pt idx="15">
                  <c:v>1.6</c:v>
                </c:pt>
                <c:pt idx="16">
                  <c:v>1.9100000000000001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Gather!$C$4</c:f>
              <c:strCache>
                <c:ptCount val="1"/>
                <c:pt idx="0">
                  <c:v>Daily Payload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Gather!$A$5:$A$30</c:f>
              <c:numCache>
                <c:ptCount val="26"/>
                <c:pt idx="0">
                  <c:v>0.3</c:v>
                </c:pt>
                <c:pt idx="1">
                  <c:v>3.1</c:v>
                </c:pt>
                <c:pt idx="2">
                  <c:v>6.5</c:v>
                </c:pt>
                <c:pt idx="3">
                  <c:v>9.5</c:v>
                </c:pt>
                <c:pt idx="4">
                  <c:v>12.3</c:v>
                </c:pt>
                <c:pt idx="5">
                  <c:v>15.5</c:v>
                </c:pt>
                <c:pt idx="6">
                  <c:v>20.6</c:v>
                </c:pt>
                <c:pt idx="7">
                  <c:v>23.6</c:v>
                </c:pt>
                <c:pt idx="8">
                  <c:v>25</c:v>
                </c:pt>
                <c:pt idx="9">
                  <c:v>27.5</c:v>
                </c:pt>
                <c:pt idx="10">
                  <c:v>30.1</c:v>
                </c:pt>
                <c:pt idx="11">
                  <c:v>32.1</c:v>
                </c:pt>
                <c:pt idx="12">
                  <c:v>35.3</c:v>
                </c:pt>
                <c:pt idx="13">
                  <c:v>37.900000000000006</c:v>
                </c:pt>
                <c:pt idx="14">
                  <c:v>40.400000000000006</c:v>
                </c:pt>
                <c:pt idx="15">
                  <c:v>43.2</c:v>
                </c:pt>
                <c:pt idx="16">
                  <c:v>47</c:v>
                </c:pt>
                <c:pt idx="17">
                  <c:v>50.400000000000006</c:v>
                </c:pt>
                <c:pt idx="18">
                  <c:v>53.1</c:v>
                </c:pt>
                <c:pt idx="19">
                  <c:v>67.9</c:v>
                </c:pt>
                <c:pt idx="20">
                  <c:v>75.9</c:v>
                </c:pt>
                <c:pt idx="21">
                  <c:v>80.9</c:v>
                </c:pt>
                <c:pt idx="22">
                  <c:v>81.60000000000001</c:v>
                </c:pt>
                <c:pt idx="23">
                  <c:v>83.5</c:v>
                </c:pt>
                <c:pt idx="24">
                  <c:v>86.30000000000001</c:v>
                </c:pt>
                <c:pt idx="25">
                  <c:v>89.80000000000001</c:v>
                </c:pt>
              </c:numCache>
            </c:numRef>
          </c:xVal>
          <c:yVal>
            <c:numRef>
              <c:f>Gather!$C$5:$C$30</c:f>
              <c:numCache>
                <c:ptCount val="26"/>
                <c:pt idx="0">
                  <c:v>0.6000000000000001</c:v>
                </c:pt>
                <c:pt idx="1">
                  <c:v>0.7373960309596616</c:v>
                </c:pt>
                <c:pt idx="2">
                  <c:v>0.8542665829351536</c:v>
                </c:pt>
                <c:pt idx="3">
                  <c:v>0.8892025396406786</c:v>
                </c:pt>
                <c:pt idx="4">
                  <c:v>0.8909411262921811</c:v>
                </c:pt>
                <c:pt idx="5">
                  <c:v>0.9333668942108566</c:v>
                </c:pt>
                <c:pt idx="6">
                  <c:v>1.004035674045244</c:v>
                </c:pt>
                <c:pt idx="8">
                  <c:v>1</c:v>
                </c:pt>
                <c:pt idx="9">
                  <c:v>1.2549654827756707</c:v>
                </c:pt>
                <c:pt idx="10">
                  <c:v>1.4653961216249085</c:v>
                </c:pt>
                <c:pt idx="11">
                  <c:v>1.880620524446606</c:v>
                </c:pt>
                <c:pt idx="12">
                  <c:v>2.3334172355271416</c:v>
                </c:pt>
                <c:pt idx="13">
                  <c:v>2.6826757771472933</c:v>
                </c:pt>
                <c:pt idx="14">
                  <c:v>2.8503423233532934</c:v>
                </c:pt>
                <c:pt idx="15">
                  <c:v>2.983900915799701</c:v>
                </c:pt>
                <c:pt idx="16">
                  <c:v>3.3426201898926307</c:v>
                </c:pt>
                <c:pt idx="17">
                  <c:v>3.71468036948118</c:v>
                </c:pt>
                <c:pt idx="18">
                  <c:v>4.000143832332243</c:v>
                </c:pt>
                <c:pt idx="19">
                  <c:v>6</c:v>
                </c:pt>
                <c:pt idx="20">
                  <c:v>7.187696686876906</c:v>
                </c:pt>
                <c:pt idx="22">
                  <c:v>6.016040926092715</c:v>
                </c:pt>
                <c:pt idx="23">
                  <c:v>6.791210282384105</c:v>
                </c:pt>
                <c:pt idx="24">
                  <c:v>8.083159209536424</c:v>
                </c:pt>
                <c:pt idx="25">
                  <c:v>10.150277492980132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Gather!$D$4</c:f>
              <c:strCache>
                <c:ptCount val="1"/>
                <c:pt idx="0">
                  <c:v>Temp1 LEO tether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Gather!$A$5:$A$30</c:f>
              <c:numCache>
                <c:ptCount val="26"/>
                <c:pt idx="0">
                  <c:v>0.3</c:v>
                </c:pt>
                <c:pt idx="1">
                  <c:v>3.1</c:v>
                </c:pt>
                <c:pt idx="2">
                  <c:v>6.5</c:v>
                </c:pt>
                <c:pt idx="3">
                  <c:v>9.5</c:v>
                </c:pt>
                <c:pt idx="4">
                  <c:v>12.3</c:v>
                </c:pt>
                <c:pt idx="5">
                  <c:v>15.5</c:v>
                </c:pt>
                <c:pt idx="6">
                  <c:v>20.6</c:v>
                </c:pt>
                <c:pt idx="7">
                  <c:v>23.6</c:v>
                </c:pt>
                <c:pt idx="8">
                  <c:v>25</c:v>
                </c:pt>
                <c:pt idx="9">
                  <c:v>27.5</c:v>
                </c:pt>
                <c:pt idx="10">
                  <c:v>30.1</c:v>
                </c:pt>
                <c:pt idx="11">
                  <c:v>32.1</c:v>
                </c:pt>
                <c:pt idx="12">
                  <c:v>35.3</c:v>
                </c:pt>
                <c:pt idx="13">
                  <c:v>37.900000000000006</c:v>
                </c:pt>
                <c:pt idx="14">
                  <c:v>40.400000000000006</c:v>
                </c:pt>
                <c:pt idx="15">
                  <c:v>43.2</c:v>
                </c:pt>
                <c:pt idx="16">
                  <c:v>47</c:v>
                </c:pt>
                <c:pt idx="17">
                  <c:v>50.400000000000006</c:v>
                </c:pt>
                <c:pt idx="18">
                  <c:v>53.1</c:v>
                </c:pt>
                <c:pt idx="19">
                  <c:v>67.9</c:v>
                </c:pt>
                <c:pt idx="20">
                  <c:v>75.9</c:v>
                </c:pt>
                <c:pt idx="21">
                  <c:v>80.9</c:v>
                </c:pt>
                <c:pt idx="22">
                  <c:v>81.60000000000001</c:v>
                </c:pt>
                <c:pt idx="23">
                  <c:v>83.5</c:v>
                </c:pt>
                <c:pt idx="24">
                  <c:v>86.30000000000001</c:v>
                </c:pt>
                <c:pt idx="25">
                  <c:v>89.80000000000001</c:v>
                </c:pt>
              </c:numCache>
            </c:numRef>
          </c:xVal>
          <c:yVal>
            <c:numRef>
              <c:f>Gather!$D$5:$D$30</c:f>
              <c:numCache>
                <c:ptCount val="26"/>
                <c:pt idx="0">
                  <c:v>4.82</c:v>
                </c:pt>
                <c:pt idx="1">
                  <c:v>6.42</c:v>
                </c:pt>
                <c:pt idx="2">
                  <c:v>8.82</c:v>
                </c:pt>
                <c:pt idx="3">
                  <c:v>11.32</c:v>
                </c:pt>
                <c:pt idx="4">
                  <c:v>13.720000000000002</c:v>
                </c:pt>
                <c:pt idx="5">
                  <c:v>16.52</c:v>
                </c:pt>
                <c:pt idx="6">
                  <c:v>21.32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Gather!$E$4</c:f>
              <c:strCache>
                <c:ptCount val="1"/>
                <c:pt idx="0">
                  <c:v>Temp2 LEO tether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Gather!$A$5:$A$30</c:f>
              <c:numCache>
                <c:ptCount val="26"/>
                <c:pt idx="0">
                  <c:v>0.3</c:v>
                </c:pt>
                <c:pt idx="1">
                  <c:v>3.1</c:v>
                </c:pt>
                <c:pt idx="2">
                  <c:v>6.5</c:v>
                </c:pt>
                <c:pt idx="3">
                  <c:v>9.5</c:v>
                </c:pt>
                <c:pt idx="4">
                  <c:v>12.3</c:v>
                </c:pt>
                <c:pt idx="5">
                  <c:v>15.5</c:v>
                </c:pt>
                <c:pt idx="6">
                  <c:v>20.6</c:v>
                </c:pt>
                <c:pt idx="7">
                  <c:v>23.6</c:v>
                </c:pt>
                <c:pt idx="8">
                  <c:v>25</c:v>
                </c:pt>
                <c:pt idx="9">
                  <c:v>27.5</c:v>
                </c:pt>
                <c:pt idx="10">
                  <c:v>30.1</c:v>
                </c:pt>
                <c:pt idx="11">
                  <c:v>32.1</c:v>
                </c:pt>
                <c:pt idx="12">
                  <c:v>35.3</c:v>
                </c:pt>
                <c:pt idx="13">
                  <c:v>37.900000000000006</c:v>
                </c:pt>
                <c:pt idx="14">
                  <c:v>40.400000000000006</c:v>
                </c:pt>
                <c:pt idx="15">
                  <c:v>43.2</c:v>
                </c:pt>
                <c:pt idx="16">
                  <c:v>47</c:v>
                </c:pt>
                <c:pt idx="17">
                  <c:v>50.400000000000006</c:v>
                </c:pt>
                <c:pt idx="18">
                  <c:v>53.1</c:v>
                </c:pt>
                <c:pt idx="19">
                  <c:v>67.9</c:v>
                </c:pt>
                <c:pt idx="20">
                  <c:v>75.9</c:v>
                </c:pt>
                <c:pt idx="21">
                  <c:v>80.9</c:v>
                </c:pt>
                <c:pt idx="22">
                  <c:v>81.60000000000001</c:v>
                </c:pt>
                <c:pt idx="23">
                  <c:v>83.5</c:v>
                </c:pt>
                <c:pt idx="24">
                  <c:v>86.30000000000001</c:v>
                </c:pt>
                <c:pt idx="25">
                  <c:v>89.80000000000001</c:v>
                </c:pt>
              </c:numCache>
            </c:numRef>
          </c:xVal>
          <c:yVal>
            <c:numRef>
              <c:f>Gather!$E$5:$E$30</c:f>
              <c:numCache>
                <c:ptCount val="26"/>
                <c:pt idx="8">
                  <c:v>21.32</c:v>
                </c:pt>
                <c:pt idx="9">
                  <c:v>23.82</c:v>
                </c:pt>
                <c:pt idx="10">
                  <c:v>27.07</c:v>
                </c:pt>
                <c:pt idx="11">
                  <c:v>31.57</c:v>
                </c:pt>
                <c:pt idx="12">
                  <c:v>37.57</c:v>
                </c:pt>
                <c:pt idx="13">
                  <c:v>43.57</c:v>
                </c:pt>
                <c:pt idx="14">
                  <c:v>50.17</c:v>
                </c:pt>
                <c:pt idx="15">
                  <c:v>57.97</c:v>
                </c:pt>
                <c:pt idx="16">
                  <c:v>69.16999999999999</c:v>
                </c:pt>
                <c:pt idx="17">
                  <c:v>80.62999999999998</c:v>
                </c:pt>
                <c:pt idx="18">
                  <c:v>90.62999999999998</c:v>
                </c:pt>
                <c:pt idx="19">
                  <c:v>150.63</c:v>
                </c:pt>
                <c:pt idx="20">
                  <c:v>200.63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Gather!$F$4</c:f>
              <c:strCache>
                <c:ptCount val="1"/>
                <c:pt idx="0">
                  <c:v>LEO tether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Gather!$A$5:$A$30</c:f>
              <c:numCache>
                <c:ptCount val="26"/>
                <c:pt idx="0">
                  <c:v>0.3</c:v>
                </c:pt>
                <c:pt idx="1">
                  <c:v>3.1</c:v>
                </c:pt>
                <c:pt idx="2">
                  <c:v>6.5</c:v>
                </c:pt>
                <c:pt idx="3">
                  <c:v>9.5</c:v>
                </c:pt>
                <c:pt idx="4">
                  <c:v>12.3</c:v>
                </c:pt>
                <c:pt idx="5">
                  <c:v>15.5</c:v>
                </c:pt>
                <c:pt idx="6">
                  <c:v>20.6</c:v>
                </c:pt>
                <c:pt idx="7">
                  <c:v>23.6</c:v>
                </c:pt>
                <c:pt idx="8">
                  <c:v>25</c:v>
                </c:pt>
                <c:pt idx="9">
                  <c:v>27.5</c:v>
                </c:pt>
                <c:pt idx="10">
                  <c:v>30.1</c:v>
                </c:pt>
                <c:pt idx="11">
                  <c:v>32.1</c:v>
                </c:pt>
                <c:pt idx="12">
                  <c:v>35.3</c:v>
                </c:pt>
                <c:pt idx="13">
                  <c:v>37.900000000000006</c:v>
                </c:pt>
                <c:pt idx="14">
                  <c:v>40.400000000000006</c:v>
                </c:pt>
                <c:pt idx="15">
                  <c:v>43.2</c:v>
                </c:pt>
                <c:pt idx="16">
                  <c:v>47</c:v>
                </c:pt>
                <c:pt idx="17">
                  <c:v>50.400000000000006</c:v>
                </c:pt>
                <c:pt idx="18">
                  <c:v>53.1</c:v>
                </c:pt>
                <c:pt idx="19">
                  <c:v>67.9</c:v>
                </c:pt>
                <c:pt idx="20">
                  <c:v>75.9</c:v>
                </c:pt>
                <c:pt idx="21">
                  <c:v>80.9</c:v>
                </c:pt>
                <c:pt idx="22">
                  <c:v>81.60000000000001</c:v>
                </c:pt>
                <c:pt idx="23">
                  <c:v>83.5</c:v>
                </c:pt>
                <c:pt idx="24">
                  <c:v>86.30000000000001</c:v>
                </c:pt>
                <c:pt idx="25">
                  <c:v>89.80000000000001</c:v>
                </c:pt>
              </c:numCache>
            </c:numRef>
          </c:xVal>
          <c:yVal>
            <c:numRef>
              <c:f>Gather!$F$5:$F$30</c:f>
              <c:numCache>
                <c:ptCount val="26"/>
                <c:pt idx="22">
                  <c:v>200.63</c:v>
                </c:pt>
                <c:pt idx="23">
                  <c:v>212.63</c:v>
                </c:pt>
                <c:pt idx="24">
                  <c:v>232.63</c:v>
                </c:pt>
                <c:pt idx="25">
                  <c:v>264.63</c:v>
                </c:pt>
              </c:numCache>
            </c:numRef>
          </c:yVal>
          <c:smooth val="1"/>
        </c:ser>
        <c:axId val="10561775"/>
        <c:axId val="27947112"/>
      </c:scatterChart>
      <c:valAx>
        <c:axId val="10561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Days under construction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47112"/>
        <c:crosses val="autoZero"/>
        <c:crossBetween val="midCat"/>
        <c:dispUnits/>
      </c:valAx>
      <c:valAx>
        <c:axId val="27947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Tons in orbit / to orbit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617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Cost to LEO (&amp; GTO)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25"/>
          <c:w val="0.82175"/>
          <c:h val="0.81775"/>
        </c:manualLayout>
      </c:layout>
      <c:scatterChart>
        <c:scatterStyle val="smooth"/>
        <c:varyColors val="0"/>
        <c:ser>
          <c:idx val="0"/>
          <c:order val="0"/>
          <c:tx>
            <c:strRef>
              <c:f>CostLb!$B$7</c:f>
              <c:strCache>
                <c:ptCount val="1"/>
                <c:pt idx="0">
                  <c:v>Fly 1 180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CostLb!$A$8:$A$33</c:f>
              <c:numCache>
                <c:ptCount val="26"/>
                <c:pt idx="0">
                  <c:v>0.3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0.8</c:v>
                </c:pt>
                <c:pt idx="5">
                  <c:v>1</c:v>
                </c:pt>
                <c:pt idx="6">
                  <c:v>1.1</c:v>
                </c:pt>
                <c:pt idx="7">
                  <c:v>1.2</c:v>
                </c:pt>
                <c:pt idx="8">
                  <c:v>1.3</c:v>
                </c:pt>
                <c:pt idx="9">
                  <c:v>1.5</c:v>
                </c:pt>
                <c:pt idx="10">
                  <c:v>1.6</c:v>
                </c:pt>
                <c:pt idx="11">
                  <c:v>1.8</c:v>
                </c:pt>
                <c:pt idx="12">
                  <c:v>2</c:v>
                </c:pt>
                <c:pt idx="13">
                  <c:v>2.2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2.8</c:v>
                </c:pt>
                <c:pt idx="18">
                  <c:v>3</c:v>
                </c:pt>
                <c:pt idx="19">
                  <c:v>3.2</c:v>
                </c:pt>
                <c:pt idx="20">
                  <c:v>3.4</c:v>
                </c:pt>
                <c:pt idx="21">
                  <c:v>3.5</c:v>
                </c:pt>
                <c:pt idx="22">
                  <c:v>3.7</c:v>
                </c:pt>
                <c:pt idx="23">
                  <c:v>3.8</c:v>
                </c:pt>
                <c:pt idx="24">
                  <c:v>3.9</c:v>
                </c:pt>
                <c:pt idx="25">
                  <c:v>4</c:v>
                </c:pt>
              </c:numCache>
            </c:numRef>
          </c:xVal>
          <c:yVal>
            <c:numRef>
              <c:f>CostLb!$B$8:$B$33</c:f>
              <c:numCache>
                <c:ptCount val="26"/>
                <c:pt idx="0">
                  <c:v>348.4848484848485</c:v>
                </c:pt>
                <c:pt idx="1">
                  <c:v>209.09090909090907</c:v>
                </c:pt>
                <c:pt idx="2">
                  <c:v>174.24242424242425</c:v>
                </c:pt>
                <c:pt idx="3">
                  <c:v>149.35064935064935</c:v>
                </c:pt>
                <c:pt idx="4">
                  <c:v>130.68181818181816</c:v>
                </c:pt>
                <c:pt idx="5">
                  <c:v>104.54545454545453</c:v>
                </c:pt>
                <c:pt idx="6">
                  <c:v>95.04132231404957</c:v>
                </c:pt>
                <c:pt idx="7">
                  <c:v>87.12121212121212</c:v>
                </c:pt>
                <c:pt idx="8">
                  <c:v>80.4195804195804</c:v>
                </c:pt>
                <c:pt idx="9">
                  <c:v>69.6969696969697</c:v>
                </c:pt>
                <c:pt idx="10">
                  <c:v>65.34090909090908</c:v>
                </c:pt>
                <c:pt idx="11">
                  <c:v>58.080808080808076</c:v>
                </c:pt>
                <c:pt idx="12">
                  <c:v>52.272727272727266</c:v>
                </c:pt>
                <c:pt idx="13">
                  <c:v>47.52066115702478</c:v>
                </c:pt>
                <c:pt idx="14">
                  <c:v>43.56060606060606</c:v>
                </c:pt>
                <c:pt idx="15">
                  <c:v>41.81818181818181</c:v>
                </c:pt>
                <c:pt idx="16">
                  <c:v>40.2097902097902</c:v>
                </c:pt>
                <c:pt idx="17">
                  <c:v>37.33766233766234</c:v>
                </c:pt>
                <c:pt idx="18">
                  <c:v>34.84848484848485</c:v>
                </c:pt>
                <c:pt idx="19">
                  <c:v>32.67045454545454</c:v>
                </c:pt>
                <c:pt idx="20">
                  <c:v>30.74866310160428</c:v>
                </c:pt>
                <c:pt idx="21">
                  <c:v>29.870129870129865</c:v>
                </c:pt>
                <c:pt idx="22">
                  <c:v>28.255528255528255</c:v>
                </c:pt>
                <c:pt idx="23">
                  <c:v>27.511961722488035</c:v>
                </c:pt>
                <c:pt idx="24">
                  <c:v>26.806526806526804</c:v>
                </c:pt>
                <c:pt idx="25">
                  <c:v>26.136363636363633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CostLb!$C$7</c:f>
              <c:strCache>
                <c:ptCount val="1"/>
                <c:pt idx="0">
                  <c:v>Fly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CostLb!$A$8:$A$33</c:f>
              <c:numCache>
                <c:ptCount val="26"/>
                <c:pt idx="0">
                  <c:v>0.3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0.8</c:v>
                </c:pt>
                <c:pt idx="5">
                  <c:v>1</c:v>
                </c:pt>
                <c:pt idx="6">
                  <c:v>1.1</c:v>
                </c:pt>
                <c:pt idx="7">
                  <c:v>1.2</c:v>
                </c:pt>
                <c:pt idx="8">
                  <c:v>1.3</c:v>
                </c:pt>
                <c:pt idx="9">
                  <c:v>1.5</c:v>
                </c:pt>
                <c:pt idx="10">
                  <c:v>1.6</c:v>
                </c:pt>
                <c:pt idx="11">
                  <c:v>1.8</c:v>
                </c:pt>
                <c:pt idx="12">
                  <c:v>2</c:v>
                </c:pt>
                <c:pt idx="13">
                  <c:v>2.2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2.8</c:v>
                </c:pt>
                <c:pt idx="18">
                  <c:v>3</c:v>
                </c:pt>
                <c:pt idx="19">
                  <c:v>3.2</c:v>
                </c:pt>
                <c:pt idx="20">
                  <c:v>3.4</c:v>
                </c:pt>
                <c:pt idx="21">
                  <c:v>3.5</c:v>
                </c:pt>
                <c:pt idx="22">
                  <c:v>3.7</c:v>
                </c:pt>
                <c:pt idx="23">
                  <c:v>3.8</c:v>
                </c:pt>
                <c:pt idx="24">
                  <c:v>3.9</c:v>
                </c:pt>
                <c:pt idx="25">
                  <c:v>4</c:v>
                </c:pt>
              </c:numCache>
            </c:numRef>
          </c:xVal>
          <c:yVal>
            <c:numRef>
              <c:f>CostLb!$C$8:$C$33</c:f>
              <c:numCache>
                <c:ptCount val="26"/>
                <c:pt idx="0">
                  <c:v>265.1515151515151</c:v>
                </c:pt>
                <c:pt idx="1">
                  <c:v>159.09090909090907</c:v>
                </c:pt>
                <c:pt idx="2">
                  <c:v>132.57575757575756</c:v>
                </c:pt>
                <c:pt idx="3">
                  <c:v>113.63636363636364</c:v>
                </c:pt>
                <c:pt idx="4">
                  <c:v>99.43181818181817</c:v>
                </c:pt>
                <c:pt idx="5">
                  <c:v>79.54545454545453</c:v>
                </c:pt>
                <c:pt idx="6">
                  <c:v>72.31404958677685</c:v>
                </c:pt>
                <c:pt idx="7">
                  <c:v>66.28787878787878</c:v>
                </c:pt>
                <c:pt idx="8">
                  <c:v>61.18881118881118</c:v>
                </c:pt>
                <c:pt idx="9">
                  <c:v>53.03030303030303</c:v>
                </c:pt>
                <c:pt idx="10">
                  <c:v>49.715909090909086</c:v>
                </c:pt>
                <c:pt idx="11">
                  <c:v>44.19191919191918</c:v>
                </c:pt>
                <c:pt idx="12">
                  <c:v>39.772727272727266</c:v>
                </c:pt>
                <c:pt idx="13">
                  <c:v>36.15702479338842</c:v>
                </c:pt>
                <c:pt idx="14">
                  <c:v>33.14393939393939</c:v>
                </c:pt>
                <c:pt idx="15">
                  <c:v>31.818181818181817</c:v>
                </c:pt>
                <c:pt idx="16">
                  <c:v>30.59440559440559</c:v>
                </c:pt>
                <c:pt idx="17">
                  <c:v>28.40909090909091</c:v>
                </c:pt>
                <c:pt idx="18">
                  <c:v>26.515151515151516</c:v>
                </c:pt>
                <c:pt idx="19">
                  <c:v>24.857954545454543</c:v>
                </c:pt>
                <c:pt idx="20">
                  <c:v>23.39572192513369</c:v>
                </c:pt>
                <c:pt idx="21">
                  <c:v>22.727272727272727</c:v>
                </c:pt>
                <c:pt idx="22">
                  <c:v>21.498771498771497</c:v>
                </c:pt>
                <c:pt idx="23">
                  <c:v>20.933014354066984</c:v>
                </c:pt>
                <c:pt idx="24">
                  <c:v>20.396270396270396</c:v>
                </c:pt>
                <c:pt idx="25">
                  <c:v>19.886363636363633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CostLb!$D$7</c:f>
              <c:strCache>
                <c:ptCount val="1"/>
                <c:pt idx="0">
                  <c:v>Fly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CostLb!$A$8:$A$33</c:f>
              <c:numCache>
                <c:ptCount val="26"/>
                <c:pt idx="0">
                  <c:v>0.3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0.8</c:v>
                </c:pt>
                <c:pt idx="5">
                  <c:v>1</c:v>
                </c:pt>
                <c:pt idx="6">
                  <c:v>1.1</c:v>
                </c:pt>
                <c:pt idx="7">
                  <c:v>1.2</c:v>
                </c:pt>
                <c:pt idx="8">
                  <c:v>1.3</c:v>
                </c:pt>
                <c:pt idx="9">
                  <c:v>1.5</c:v>
                </c:pt>
                <c:pt idx="10">
                  <c:v>1.6</c:v>
                </c:pt>
                <c:pt idx="11">
                  <c:v>1.8</c:v>
                </c:pt>
                <c:pt idx="12">
                  <c:v>2</c:v>
                </c:pt>
                <c:pt idx="13">
                  <c:v>2.2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2.8</c:v>
                </c:pt>
                <c:pt idx="18">
                  <c:v>3</c:v>
                </c:pt>
                <c:pt idx="19">
                  <c:v>3.2</c:v>
                </c:pt>
                <c:pt idx="20">
                  <c:v>3.4</c:v>
                </c:pt>
                <c:pt idx="21">
                  <c:v>3.5</c:v>
                </c:pt>
                <c:pt idx="22">
                  <c:v>3.7</c:v>
                </c:pt>
                <c:pt idx="23">
                  <c:v>3.8</c:v>
                </c:pt>
                <c:pt idx="24">
                  <c:v>3.9</c:v>
                </c:pt>
                <c:pt idx="25">
                  <c:v>4</c:v>
                </c:pt>
              </c:numCache>
            </c:numRef>
          </c:xVal>
          <c:yVal>
            <c:numRef>
              <c:f>CostLb!$D$8:$D$33</c:f>
              <c:numCache>
                <c:ptCount val="26"/>
                <c:pt idx="0">
                  <c:v>222.72727272727272</c:v>
                </c:pt>
                <c:pt idx="1">
                  <c:v>133.63636363636363</c:v>
                </c:pt>
                <c:pt idx="2">
                  <c:v>111.36363636363636</c:v>
                </c:pt>
                <c:pt idx="3">
                  <c:v>95.45454545454545</c:v>
                </c:pt>
                <c:pt idx="4">
                  <c:v>83.52272727272727</c:v>
                </c:pt>
                <c:pt idx="5">
                  <c:v>66.81818181818181</c:v>
                </c:pt>
                <c:pt idx="6">
                  <c:v>60.74380165289255</c:v>
                </c:pt>
                <c:pt idx="7">
                  <c:v>55.68181818181818</c:v>
                </c:pt>
                <c:pt idx="8">
                  <c:v>51.39860139860139</c:v>
                </c:pt>
                <c:pt idx="9">
                  <c:v>44.54545454545454</c:v>
                </c:pt>
                <c:pt idx="10">
                  <c:v>41.76136363636363</c:v>
                </c:pt>
                <c:pt idx="11">
                  <c:v>37.12121212121212</c:v>
                </c:pt>
                <c:pt idx="12">
                  <c:v>33.40909090909091</c:v>
                </c:pt>
                <c:pt idx="13">
                  <c:v>30.371900826446275</c:v>
                </c:pt>
                <c:pt idx="14">
                  <c:v>27.84090909090909</c:v>
                </c:pt>
                <c:pt idx="15">
                  <c:v>26.727272727272723</c:v>
                </c:pt>
                <c:pt idx="16">
                  <c:v>25.699300699300696</c:v>
                </c:pt>
                <c:pt idx="17">
                  <c:v>23.863636363636363</c:v>
                </c:pt>
                <c:pt idx="18">
                  <c:v>22.27272727272727</c:v>
                </c:pt>
                <c:pt idx="19">
                  <c:v>20.880681818181817</c:v>
                </c:pt>
                <c:pt idx="20">
                  <c:v>19.652406417112296</c:v>
                </c:pt>
                <c:pt idx="21">
                  <c:v>19.09090909090909</c:v>
                </c:pt>
                <c:pt idx="22">
                  <c:v>18.058968058968055</c:v>
                </c:pt>
                <c:pt idx="23">
                  <c:v>17.58373205741627</c:v>
                </c:pt>
                <c:pt idx="24">
                  <c:v>17.132867132867133</c:v>
                </c:pt>
                <c:pt idx="25">
                  <c:v>16.704545454545453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CostLb!$E$7</c:f>
              <c:strCache>
                <c:ptCount val="1"/>
                <c:pt idx="0">
                  <c:v>Fly 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CostLb!$A$8:$A$33</c:f>
              <c:numCache>
                <c:ptCount val="26"/>
                <c:pt idx="0">
                  <c:v>0.3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0.8</c:v>
                </c:pt>
                <c:pt idx="5">
                  <c:v>1</c:v>
                </c:pt>
                <c:pt idx="6">
                  <c:v>1.1</c:v>
                </c:pt>
                <c:pt idx="7">
                  <c:v>1.2</c:v>
                </c:pt>
                <c:pt idx="8">
                  <c:v>1.3</c:v>
                </c:pt>
                <c:pt idx="9">
                  <c:v>1.5</c:v>
                </c:pt>
                <c:pt idx="10">
                  <c:v>1.6</c:v>
                </c:pt>
                <c:pt idx="11">
                  <c:v>1.8</c:v>
                </c:pt>
                <c:pt idx="12">
                  <c:v>2</c:v>
                </c:pt>
                <c:pt idx="13">
                  <c:v>2.2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2.8</c:v>
                </c:pt>
                <c:pt idx="18">
                  <c:v>3</c:v>
                </c:pt>
                <c:pt idx="19">
                  <c:v>3.2</c:v>
                </c:pt>
                <c:pt idx="20">
                  <c:v>3.4</c:v>
                </c:pt>
                <c:pt idx="21">
                  <c:v>3.5</c:v>
                </c:pt>
                <c:pt idx="22">
                  <c:v>3.7</c:v>
                </c:pt>
                <c:pt idx="23">
                  <c:v>3.8</c:v>
                </c:pt>
                <c:pt idx="24">
                  <c:v>3.9</c:v>
                </c:pt>
                <c:pt idx="25">
                  <c:v>4</c:v>
                </c:pt>
              </c:numCache>
            </c:numRef>
          </c:xVal>
          <c:yVal>
            <c:numRef>
              <c:f>CostLb!$E$8:$E$33</c:f>
              <c:numCache>
                <c:ptCount val="26"/>
                <c:pt idx="0">
                  <c:v>193.93939393939394</c:v>
                </c:pt>
                <c:pt idx="1">
                  <c:v>116.36363636363636</c:v>
                </c:pt>
                <c:pt idx="2">
                  <c:v>96.96969696969697</c:v>
                </c:pt>
                <c:pt idx="3">
                  <c:v>83.11688311688312</c:v>
                </c:pt>
                <c:pt idx="4">
                  <c:v>72.72727272727272</c:v>
                </c:pt>
                <c:pt idx="5">
                  <c:v>58.18181818181818</c:v>
                </c:pt>
                <c:pt idx="6">
                  <c:v>52.89256198347107</c:v>
                </c:pt>
                <c:pt idx="7">
                  <c:v>48.484848484848484</c:v>
                </c:pt>
                <c:pt idx="8">
                  <c:v>44.755244755244746</c:v>
                </c:pt>
                <c:pt idx="9">
                  <c:v>38.78787878787878</c:v>
                </c:pt>
                <c:pt idx="10">
                  <c:v>36.36363636363636</c:v>
                </c:pt>
                <c:pt idx="11">
                  <c:v>32.323232323232325</c:v>
                </c:pt>
                <c:pt idx="12">
                  <c:v>29.09090909090909</c:v>
                </c:pt>
                <c:pt idx="13">
                  <c:v>26.446280991735534</c:v>
                </c:pt>
                <c:pt idx="14">
                  <c:v>24.242424242424242</c:v>
                </c:pt>
                <c:pt idx="15">
                  <c:v>23.272727272727273</c:v>
                </c:pt>
                <c:pt idx="16">
                  <c:v>22.377622377622373</c:v>
                </c:pt>
                <c:pt idx="17">
                  <c:v>20.77922077922078</c:v>
                </c:pt>
                <c:pt idx="18">
                  <c:v>19.39393939393939</c:v>
                </c:pt>
                <c:pt idx="19">
                  <c:v>18.18181818181818</c:v>
                </c:pt>
                <c:pt idx="20">
                  <c:v>17.112299465240643</c:v>
                </c:pt>
                <c:pt idx="21">
                  <c:v>16.623376623376622</c:v>
                </c:pt>
                <c:pt idx="22">
                  <c:v>15.724815724815722</c:v>
                </c:pt>
                <c:pt idx="23">
                  <c:v>15.311004784688993</c:v>
                </c:pt>
                <c:pt idx="24">
                  <c:v>14.91841491841492</c:v>
                </c:pt>
                <c:pt idx="25">
                  <c:v>14.545454545454545</c:v>
                </c:pt>
              </c:numCache>
            </c:numRef>
          </c:yVal>
          <c:smooth val="1"/>
        </c:ser>
        <c:axId val="50197417"/>
        <c:axId val="49123570"/>
      </c:scatterChart>
      <c:valAx>
        <c:axId val="50197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Payload to tether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23570"/>
        <c:crosses val="autoZero"/>
        <c:crossBetween val="midCat"/>
        <c:dispUnits/>
      </c:valAx>
      <c:valAx>
        <c:axId val="49123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 per pound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974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.42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meBui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alV"/>
      <sheetName val="SimData"/>
      <sheetName val="ShipDV"/>
      <sheetName val="Cost"/>
      <sheetName val="MXcosts"/>
      <sheetName val="Sheet1"/>
      <sheetName val="SSTTdev"/>
      <sheetName val="ISPMX"/>
      <sheetName val="DevEst"/>
      <sheetName val="GTOHall"/>
      <sheetName val="EDT90"/>
      <sheetName val="Hall"/>
      <sheetName val="Loss"/>
      <sheetName val="ISP"/>
      <sheetName val="BattChg"/>
    </sheetNames>
    <sheetDataSet>
      <sheetData sheetId="3">
        <row r="12">
          <cell r="B12">
            <v>172589.0410958904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7">
      <selection activeCell="H20" sqref="H20"/>
    </sheetView>
  </sheetViews>
  <sheetFormatPr defaultColWidth="9.140625" defaultRowHeight="12.75"/>
  <cols>
    <col min="1" max="1" width="6.7109375" style="0" customWidth="1"/>
    <col min="8" max="8" width="7.8515625" style="0" customWidth="1"/>
    <col min="9" max="9" width="7.421875" style="0" customWidth="1"/>
    <col min="13" max="13" width="8.421875" style="0" customWidth="1"/>
  </cols>
  <sheetData>
    <row r="1" spans="1:11" ht="12.75">
      <c r="A1" s="6" t="s">
        <v>74</v>
      </c>
      <c r="F1" s="1">
        <v>37878</v>
      </c>
      <c r="I1">
        <v>500</v>
      </c>
      <c r="J1" t="s">
        <v>0</v>
      </c>
      <c r="K1">
        <v>6378.39</v>
      </c>
    </row>
    <row r="2" spans="1:14" ht="12.75">
      <c r="A2">
        <v>981.30133</v>
      </c>
      <c r="B2" t="s">
        <v>13</v>
      </c>
      <c r="C2" s="5">
        <f>A2/100</f>
        <v>9.8130133</v>
      </c>
      <c r="F2">
        <v>983.008</v>
      </c>
      <c r="I2" t="s">
        <v>4</v>
      </c>
      <c r="J2" t="s">
        <v>5</v>
      </c>
      <c r="K2" t="s">
        <v>8</v>
      </c>
      <c r="L2" s="5" t="s">
        <v>6</v>
      </c>
      <c r="M2" t="s">
        <v>11</v>
      </c>
      <c r="N2" t="s">
        <v>24</v>
      </c>
    </row>
    <row r="3" spans="1:14" ht="12.75">
      <c r="A3">
        <f>0.15*E5</f>
        <v>6.51</v>
      </c>
      <c r="B3" s="2">
        <f>B35</f>
        <v>5.615458409624982</v>
      </c>
      <c r="C3" s="2"/>
      <c r="D3" s="8"/>
      <c r="E3" s="13">
        <f>4+E5+A5</f>
        <v>53.91</v>
      </c>
      <c r="F3">
        <v>398580</v>
      </c>
      <c r="G3" t="s">
        <v>1</v>
      </c>
      <c r="I3">
        <f>600-62</f>
        <v>538</v>
      </c>
      <c r="J3" t="s">
        <v>12</v>
      </c>
      <c r="K3" s="3">
        <f>K$1+I3</f>
        <v>6916.39</v>
      </c>
      <c r="L3" s="4">
        <f>-F$3/K3</f>
        <v>-57.62832922955472</v>
      </c>
      <c r="M3">
        <v>7.565</v>
      </c>
      <c r="N3" s="5">
        <f>L3+M3*M3/2</f>
        <v>-29.01371672955472</v>
      </c>
    </row>
    <row r="4" spans="1:12" ht="12.75">
      <c r="A4" t="s">
        <v>14</v>
      </c>
      <c r="B4" s="8" t="s">
        <v>18</v>
      </c>
      <c r="C4" s="11" t="s">
        <v>19</v>
      </c>
      <c r="D4" s="8" t="s">
        <v>20</v>
      </c>
      <c r="E4" t="s">
        <v>16</v>
      </c>
      <c r="F4" s="2">
        <f>SQRT(F3)</f>
        <v>631.3319253768179</v>
      </c>
      <c r="G4" t="s">
        <v>3</v>
      </c>
      <c r="I4">
        <v>100</v>
      </c>
      <c r="J4" t="s">
        <v>2</v>
      </c>
      <c r="K4" s="3">
        <f>K$1+I4</f>
        <v>6478.39</v>
      </c>
      <c r="L4" s="4">
        <f>-F$3/K4</f>
        <v>-61.52454545033565</v>
      </c>
    </row>
    <row r="5" spans="1:12" ht="12.75">
      <c r="A5" s="5">
        <f>0.15*E5</f>
        <v>6.51</v>
      </c>
      <c r="B5" s="9">
        <v>350</v>
      </c>
      <c r="C5" s="12">
        <v>0</v>
      </c>
      <c r="D5" s="13">
        <v>0.12</v>
      </c>
      <c r="E5" s="8">
        <v>43.4</v>
      </c>
      <c r="I5">
        <f>I4+I1</f>
        <v>600</v>
      </c>
      <c r="J5" t="s">
        <v>9</v>
      </c>
      <c r="K5" s="3">
        <f>K$1+I5</f>
        <v>6978.39</v>
      </c>
      <c r="L5" s="4">
        <f>-F$3/K5</f>
        <v>-57.11632625863559</v>
      </c>
    </row>
    <row r="6" spans="1:14" ht="12.75">
      <c r="A6" s="14">
        <f>ROUND(Cost!B32/10000+0.4,0)*10</f>
        <v>230</v>
      </c>
      <c r="B6" t="s">
        <v>48</v>
      </c>
      <c r="C6" s="12"/>
      <c r="D6" s="13"/>
      <c r="E6" s="13">
        <f>0.15*E5</f>
        <v>6.51</v>
      </c>
      <c r="L6" s="5">
        <f>L5-L4</f>
        <v>4.408219191700063</v>
      </c>
      <c r="N6" t="s">
        <v>165</v>
      </c>
    </row>
    <row r="7" spans="1:9" ht="12.75">
      <c r="A7" t="s">
        <v>15</v>
      </c>
      <c r="B7" t="s">
        <v>23</v>
      </c>
      <c r="C7" s="11" t="s">
        <v>21</v>
      </c>
      <c r="D7" t="s">
        <v>22</v>
      </c>
      <c r="E7" t="s">
        <v>10</v>
      </c>
      <c r="F7" t="s">
        <v>202</v>
      </c>
      <c r="G7" t="s">
        <v>17</v>
      </c>
      <c r="I7" t="s">
        <v>43</v>
      </c>
    </row>
    <row r="8" spans="1:17" ht="12.75">
      <c r="A8" s="6">
        <v>0.1</v>
      </c>
      <c r="B8" s="2">
        <f aca="true" t="shared" si="0" ref="B8:B36">(B$5*C$2)*(LN(G8/(A$5+A8)))/1000</f>
        <v>6.950299886275275</v>
      </c>
      <c r="C8" s="2">
        <f>B8/(1+D$5)+C$5</f>
        <v>6.205624898460066</v>
      </c>
      <c r="D8" s="2">
        <v>6.2</v>
      </c>
      <c r="E8" s="2">
        <f>E$36+(A8-A$36)*E$38</f>
        <v>8.054542857142858</v>
      </c>
      <c r="F8" s="2">
        <f aca="true" t="shared" si="1" ref="F8:F36">E8-D8</f>
        <v>1.8545428571428575</v>
      </c>
      <c r="G8" s="8">
        <f aca="true" t="shared" si="2" ref="G8:G36">A$5+A8+E$5</f>
        <v>50.01</v>
      </c>
      <c r="I8" s="19">
        <f>A$6/A8/2.2</f>
        <v>1045.4545454545453</v>
      </c>
      <c r="Q8" s="6">
        <f>A8</f>
        <v>0.1</v>
      </c>
    </row>
    <row r="9" spans="1:17" ht="12.75">
      <c r="A9" s="6">
        <v>0.2</v>
      </c>
      <c r="B9" s="2">
        <f t="shared" si="0"/>
        <v>6.905589906195557</v>
      </c>
      <c r="C9" s="2">
        <f>B9/(1+D$5)+C$5</f>
        <v>6.165705273388889</v>
      </c>
      <c r="D9" s="2">
        <v>6.16</v>
      </c>
      <c r="E9" s="2">
        <f>E$36+(A9-A$36)*E$38</f>
        <v>8.053657142857142</v>
      </c>
      <c r="F9" s="2">
        <f t="shared" si="1"/>
        <v>1.8936571428571423</v>
      </c>
      <c r="G9" s="8">
        <f t="shared" si="2"/>
        <v>50.11</v>
      </c>
      <c r="I9" s="19">
        <f>A$6/A9/2.2</f>
        <v>522.7272727272726</v>
      </c>
      <c r="Q9" s="6">
        <f>A9</f>
        <v>0.2</v>
      </c>
    </row>
    <row r="10" spans="1:17" ht="12.75">
      <c r="A10" s="6">
        <v>0.3</v>
      </c>
      <c r="B10" s="2">
        <f t="shared" si="0"/>
        <v>6.861629158677019</v>
      </c>
      <c r="C10" s="2">
        <f>B10/(1+D$5)+C$5</f>
        <v>6.126454605961623</v>
      </c>
      <c r="D10" s="2">
        <v>6.1</v>
      </c>
      <c r="E10" s="2">
        <f>E$36+(A10-A$36)*E$38</f>
        <v>8.052771428571429</v>
      </c>
      <c r="F10" s="2">
        <f t="shared" si="1"/>
        <v>1.9527714285714293</v>
      </c>
      <c r="G10" s="8">
        <f t="shared" si="2"/>
        <v>50.21</v>
      </c>
      <c r="I10" s="19">
        <f>A$6/A10/2.2</f>
        <v>348.4848484848485</v>
      </c>
      <c r="Q10" s="6">
        <f>A10</f>
        <v>0.3</v>
      </c>
    </row>
    <row r="11" spans="1:17" ht="12.75">
      <c r="A11" s="6">
        <v>0.5</v>
      </c>
      <c r="B11" s="2">
        <f t="shared" si="0"/>
        <v>6.7758675635952885</v>
      </c>
      <c r="C11" s="2">
        <f>B11/(1+D$5)+C$5</f>
        <v>6.049881753210078</v>
      </c>
      <c r="D11" s="2">
        <v>6</v>
      </c>
      <c r="E11" s="9">
        <v>8.051</v>
      </c>
      <c r="F11" s="2">
        <f t="shared" si="1"/>
        <v>2.051</v>
      </c>
      <c r="G11" s="8">
        <f t="shared" si="2"/>
        <v>50.41</v>
      </c>
      <c r="I11" s="19">
        <f>A$6/A11/2.2</f>
        <v>209.09090909090907</v>
      </c>
      <c r="Q11" s="6">
        <f aca="true" t="shared" si="3" ref="Q11:Q22">A11</f>
        <v>0.5</v>
      </c>
    </row>
    <row r="12" spans="1:17" ht="12.75">
      <c r="A12">
        <v>0.6</v>
      </c>
      <c r="B12" s="2">
        <f t="shared" si="0"/>
        <v>6.734025159126556</v>
      </c>
      <c r="C12" s="2">
        <f aca="true" t="shared" si="4" ref="C12:C35">B12/(1+D$5)+C$5</f>
        <v>6.012522463505853</v>
      </c>
      <c r="D12" s="2">
        <v>5.97</v>
      </c>
      <c r="E12" s="2">
        <f aca="true" t="shared" si="5" ref="E12:E28">E$36+(A12-A$36)*E$38</f>
        <v>8.050114285714287</v>
      </c>
      <c r="F12" s="2">
        <f t="shared" si="1"/>
        <v>2.080114285714287</v>
      </c>
      <c r="G12" s="8">
        <f t="shared" si="2"/>
        <v>50.51</v>
      </c>
      <c r="I12" s="19">
        <f aca="true" t="shared" si="6" ref="I12:I36">A$6/A12/2.2</f>
        <v>174.24242424242425</v>
      </c>
      <c r="Q12" s="6">
        <f t="shared" si="3"/>
        <v>0.6</v>
      </c>
    </row>
    <row r="13" spans="1:17" ht="12.75">
      <c r="A13">
        <v>0.7</v>
      </c>
      <c r="B13" s="2">
        <f t="shared" si="0"/>
        <v>6.692848768547779</v>
      </c>
      <c r="C13" s="2">
        <f t="shared" si="4"/>
        <v>5.975757829060516</v>
      </c>
      <c r="D13" s="2">
        <v>5.935</v>
      </c>
      <c r="E13" s="2">
        <f t="shared" si="5"/>
        <v>8.049228571428571</v>
      </c>
      <c r="F13" s="2">
        <f t="shared" si="1"/>
        <v>2.114228571428572</v>
      </c>
      <c r="G13" s="8">
        <f t="shared" si="2"/>
        <v>50.61</v>
      </c>
      <c r="I13" s="19">
        <f t="shared" si="6"/>
        <v>149.35064935064935</v>
      </c>
      <c r="Q13" s="6">
        <f t="shared" si="3"/>
        <v>0.7</v>
      </c>
    </row>
    <row r="14" spans="1:17" ht="12.75">
      <c r="A14">
        <v>0.8</v>
      </c>
      <c r="B14" s="2">
        <f t="shared" si="0"/>
        <v>6.652319725755912</v>
      </c>
      <c r="C14" s="2">
        <f t="shared" si="4"/>
        <v>5.939571183710635</v>
      </c>
      <c r="D14" s="2">
        <v>5.9</v>
      </c>
      <c r="E14" s="2">
        <f t="shared" si="5"/>
        <v>8.048342857142858</v>
      </c>
      <c r="F14" s="2">
        <f t="shared" si="1"/>
        <v>2.1483428571428576</v>
      </c>
      <c r="G14" s="8">
        <f t="shared" si="2"/>
        <v>50.71</v>
      </c>
      <c r="I14" s="19">
        <f t="shared" si="6"/>
        <v>130.68181818181816</v>
      </c>
      <c r="Q14" s="6">
        <f t="shared" si="3"/>
        <v>0.8</v>
      </c>
    </row>
    <row r="15" spans="1:17" ht="12.75">
      <c r="A15" s="6">
        <v>1</v>
      </c>
      <c r="B15" s="2">
        <f t="shared" si="0"/>
        <v>6.573132791939023</v>
      </c>
      <c r="C15" s="2">
        <f t="shared" si="4"/>
        <v>5.86886856423127</v>
      </c>
      <c r="D15" s="2">
        <v>5.825</v>
      </c>
      <c r="E15" s="2">
        <f t="shared" si="5"/>
        <v>8.04657142857143</v>
      </c>
      <c r="F15" s="2">
        <f t="shared" si="1"/>
        <v>2.221571428571429</v>
      </c>
      <c r="G15" s="8">
        <f t="shared" si="2"/>
        <v>50.91</v>
      </c>
      <c r="I15" s="19">
        <f t="shared" si="6"/>
        <v>104.54545454545453</v>
      </c>
      <c r="Q15" s="6">
        <f t="shared" si="3"/>
        <v>1</v>
      </c>
    </row>
    <row r="16" spans="1:17" ht="12.75">
      <c r="A16" s="6">
        <v>1.1</v>
      </c>
      <c r="B16" s="2">
        <f t="shared" si="0"/>
        <v>6.534441221486245</v>
      </c>
      <c r="C16" s="2">
        <f t="shared" si="4"/>
        <v>5.834322519184147</v>
      </c>
      <c r="D16" s="2">
        <v>5.8</v>
      </c>
      <c r="E16" s="2">
        <f t="shared" si="5"/>
        <v>8.045685714285714</v>
      </c>
      <c r="F16" s="2">
        <f t="shared" si="1"/>
        <v>2.245685714285714</v>
      </c>
      <c r="G16" s="8">
        <f t="shared" si="2"/>
        <v>51.01</v>
      </c>
      <c r="I16" s="19">
        <f t="shared" si="6"/>
        <v>95.04132231404957</v>
      </c>
      <c r="Q16" s="6">
        <f t="shared" si="3"/>
        <v>1.1</v>
      </c>
    </row>
    <row r="17" spans="1:17" ht="12.75">
      <c r="A17" s="6">
        <v>1.2</v>
      </c>
      <c r="B17" s="2">
        <f t="shared" si="0"/>
        <v>6.496329566041202</v>
      </c>
      <c r="C17" s="2">
        <f t="shared" si="4"/>
        <v>5.800294255393929</v>
      </c>
      <c r="D17" s="2">
        <v>5.76</v>
      </c>
      <c r="E17" s="2">
        <f t="shared" si="5"/>
        <v>8.0448</v>
      </c>
      <c r="F17" s="2">
        <f t="shared" si="1"/>
        <v>2.2848000000000006</v>
      </c>
      <c r="G17" s="8">
        <f t="shared" si="2"/>
        <v>51.11</v>
      </c>
      <c r="I17" s="19">
        <f t="shared" si="6"/>
        <v>87.12121212121212</v>
      </c>
      <c r="Q17" s="6">
        <f t="shared" si="3"/>
        <v>1.2</v>
      </c>
    </row>
    <row r="18" spans="1:17" ht="12.75">
      <c r="A18" s="6">
        <v>1.3</v>
      </c>
      <c r="B18" s="2">
        <f t="shared" si="0"/>
        <v>6.458782590103314</v>
      </c>
      <c r="C18" s="2">
        <f t="shared" si="4"/>
        <v>5.766770169735101</v>
      </c>
      <c r="D18" s="2">
        <v>5.725</v>
      </c>
      <c r="E18" s="2">
        <f t="shared" si="5"/>
        <v>8.043914285714285</v>
      </c>
      <c r="F18" s="2">
        <f t="shared" si="1"/>
        <v>2.3189142857142855</v>
      </c>
      <c r="G18" s="8">
        <f t="shared" si="2"/>
        <v>51.21</v>
      </c>
      <c r="I18" s="19">
        <f t="shared" si="6"/>
        <v>80.4195804195804</v>
      </c>
      <c r="Q18" s="6">
        <f t="shared" si="3"/>
        <v>1.3</v>
      </c>
    </row>
    <row r="19" spans="1:17" ht="12.75">
      <c r="A19" s="6">
        <v>1.5</v>
      </c>
      <c r="B19" s="2">
        <f t="shared" si="0"/>
        <v>6.385324621461353</v>
      </c>
      <c r="C19" s="2">
        <f t="shared" si="4"/>
        <v>5.70118269773335</v>
      </c>
      <c r="D19" s="2">
        <v>5.66</v>
      </c>
      <c r="E19" s="2">
        <f t="shared" si="5"/>
        <v>8.042142857142856</v>
      </c>
      <c r="F19" s="2">
        <f t="shared" si="1"/>
        <v>2.3821428571428562</v>
      </c>
      <c r="G19" s="8">
        <f t="shared" si="2"/>
        <v>51.41</v>
      </c>
      <c r="I19" s="19">
        <f t="shared" si="6"/>
        <v>69.6969696969697</v>
      </c>
      <c r="Q19" s="6">
        <f t="shared" si="3"/>
        <v>1.5</v>
      </c>
    </row>
    <row r="20" spans="1:17" ht="12.75">
      <c r="A20" s="6">
        <v>1.6</v>
      </c>
      <c r="B20" s="2">
        <f t="shared" si="0"/>
        <v>6.349385958324923</v>
      </c>
      <c r="C20" s="2">
        <f t="shared" si="4"/>
        <v>5.669094605647253</v>
      </c>
      <c r="D20" s="2">
        <v>5.63</v>
      </c>
      <c r="E20" s="2">
        <f t="shared" si="5"/>
        <v>8.041257142857143</v>
      </c>
      <c r="F20" s="2">
        <f t="shared" si="1"/>
        <v>2.411257142857143</v>
      </c>
      <c r="G20" s="8">
        <f t="shared" si="2"/>
        <v>51.51</v>
      </c>
      <c r="I20" s="19">
        <f t="shared" si="6"/>
        <v>65.34090909090908</v>
      </c>
      <c r="Q20" s="6">
        <f t="shared" si="3"/>
        <v>1.6</v>
      </c>
    </row>
    <row r="21" spans="1:17" ht="12.75">
      <c r="A21" s="6">
        <v>1.8</v>
      </c>
      <c r="B21" s="2">
        <f t="shared" si="0"/>
        <v>6.279023892874456</v>
      </c>
      <c r="C21" s="2">
        <f t="shared" si="4"/>
        <v>5.606271332923621</v>
      </c>
      <c r="D21" s="2">
        <v>5.57</v>
      </c>
      <c r="E21" s="2">
        <f t="shared" si="5"/>
        <v>8.039485714285714</v>
      </c>
      <c r="F21" s="2">
        <f t="shared" si="1"/>
        <v>2.469485714285714</v>
      </c>
      <c r="G21" s="8">
        <f t="shared" si="2"/>
        <v>51.71</v>
      </c>
      <c r="I21" s="19">
        <f t="shared" si="6"/>
        <v>58.080808080808076</v>
      </c>
      <c r="Q21" s="6">
        <f t="shared" si="3"/>
        <v>1.8</v>
      </c>
    </row>
    <row r="22" spans="1:17" ht="12.75">
      <c r="A22" s="6">
        <v>2</v>
      </c>
      <c r="B22" s="38">
        <f t="shared" si="0"/>
        <v>6.210600453633283</v>
      </c>
      <c r="C22" s="38">
        <f t="shared" si="4"/>
        <v>5.545178976458288</v>
      </c>
      <c r="D22" s="38">
        <v>5.51</v>
      </c>
      <c r="E22" s="2">
        <f t="shared" si="5"/>
        <v>8.037714285714285</v>
      </c>
      <c r="F22" s="2">
        <f t="shared" si="1"/>
        <v>2.5277142857142856</v>
      </c>
      <c r="G22" s="8">
        <f t="shared" si="2"/>
        <v>51.91</v>
      </c>
      <c r="I22" s="19">
        <f t="shared" si="6"/>
        <v>52.272727272727266</v>
      </c>
      <c r="Q22" s="6">
        <f t="shared" si="3"/>
        <v>2</v>
      </c>
    </row>
    <row r="23" spans="1:9" ht="12.75">
      <c r="A23">
        <v>2.2</v>
      </c>
      <c r="B23" s="2">
        <f t="shared" si="0"/>
        <v>6.144023572099718</v>
      </c>
      <c r="C23" s="2">
        <f t="shared" si="4"/>
        <v>5.48573533223189</v>
      </c>
      <c r="D23" s="2">
        <v>5.45</v>
      </c>
      <c r="E23" s="2">
        <f t="shared" si="5"/>
        <v>8.035942857142857</v>
      </c>
      <c r="F23" s="2">
        <f t="shared" si="1"/>
        <v>2.5859428571428564</v>
      </c>
      <c r="G23" s="8">
        <f t="shared" si="2"/>
        <v>52.11</v>
      </c>
      <c r="I23" s="19">
        <f t="shared" si="6"/>
        <v>47.52066115702478</v>
      </c>
    </row>
    <row r="24" spans="1:9" ht="12.75">
      <c r="A24">
        <v>2.4</v>
      </c>
      <c r="B24" s="2">
        <f t="shared" si="0"/>
        <v>6.07920747353565</v>
      </c>
      <c r="C24" s="2">
        <f t="shared" si="4"/>
        <v>5.4278638156568295</v>
      </c>
      <c r="D24" s="2">
        <v>5.4</v>
      </c>
      <c r="E24" s="2">
        <f t="shared" si="5"/>
        <v>8.034171428571428</v>
      </c>
      <c r="F24" s="2">
        <f t="shared" si="1"/>
        <v>2.6341714285714275</v>
      </c>
      <c r="G24" s="8">
        <f t="shared" si="2"/>
        <v>52.31</v>
      </c>
      <c r="I24" s="19">
        <f t="shared" si="6"/>
        <v>43.56060606060606</v>
      </c>
    </row>
    <row r="25" spans="1:9" ht="12.75">
      <c r="A25">
        <v>2.5</v>
      </c>
      <c r="B25" s="2">
        <f t="shared" si="0"/>
        <v>6.047434495295961</v>
      </c>
      <c r="C25" s="2">
        <f t="shared" si="4"/>
        <v>5.399495085085679</v>
      </c>
      <c r="D25" s="2">
        <f aca="true" t="shared" si="7" ref="D25:D34">ROUND(C25-0.02,2)</f>
        <v>5.38</v>
      </c>
      <c r="E25" s="2">
        <f t="shared" si="5"/>
        <v>8.033285714285714</v>
      </c>
      <c r="F25" s="2">
        <f t="shared" si="1"/>
        <v>2.6532857142857145</v>
      </c>
      <c r="G25" s="8">
        <f t="shared" si="2"/>
        <v>52.41</v>
      </c>
      <c r="I25" s="19">
        <f t="shared" si="6"/>
        <v>41.81818181818181</v>
      </c>
    </row>
    <row r="26" spans="1:9" ht="12.75">
      <c r="A26">
        <v>2.6</v>
      </c>
      <c r="B26" s="2">
        <f t="shared" si="0"/>
        <v>6.016072117687636</v>
      </c>
      <c r="C26" s="2">
        <f t="shared" si="4"/>
        <v>5.371492962221103</v>
      </c>
      <c r="D26" s="2">
        <f t="shared" si="7"/>
        <v>5.35</v>
      </c>
      <c r="E26" s="2">
        <f t="shared" si="5"/>
        <v>8.032399999999999</v>
      </c>
      <c r="F26" s="2">
        <f t="shared" si="1"/>
        <v>2.6823999999999995</v>
      </c>
      <c r="G26" s="8">
        <f t="shared" si="2"/>
        <v>52.51</v>
      </c>
      <c r="I26" s="19">
        <f t="shared" si="6"/>
        <v>40.2097902097902</v>
      </c>
    </row>
    <row r="27" spans="1:9" ht="12.75">
      <c r="A27" s="6">
        <v>2.8</v>
      </c>
      <c r="B27" s="2">
        <f t="shared" si="0"/>
        <v>5.954542700254544</v>
      </c>
      <c r="C27" s="2">
        <f t="shared" si="4"/>
        <v>5.3165559823701285</v>
      </c>
      <c r="D27" s="2">
        <f t="shared" si="7"/>
        <v>5.3</v>
      </c>
      <c r="E27" s="2">
        <f t="shared" si="5"/>
        <v>8.03062857142857</v>
      </c>
      <c r="F27" s="2">
        <f t="shared" si="1"/>
        <v>2.7306285714285705</v>
      </c>
      <c r="G27" s="8">
        <f t="shared" si="2"/>
        <v>52.709999999999994</v>
      </c>
      <c r="I27" s="19">
        <f t="shared" si="6"/>
        <v>37.33766233766234</v>
      </c>
    </row>
    <row r="28" spans="1:9" ht="12.75">
      <c r="A28" s="6">
        <v>3</v>
      </c>
      <c r="B28" s="2">
        <f t="shared" si="0"/>
        <v>5.894549207352791</v>
      </c>
      <c r="C28" s="2">
        <f t="shared" si="4"/>
        <v>5.262990363707849</v>
      </c>
      <c r="D28" s="2">
        <f t="shared" si="7"/>
        <v>5.24</v>
      </c>
      <c r="E28" s="2">
        <f t="shared" si="5"/>
        <v>8.028857142857143</v>
      </c>
      <c r="F28" s="2">
        <f t="shared" si="1"/>
        <v>2.788857142857143</v>
      </c>
      <c r="G28" s="8">
        <f t="shared" si="2"/>
        <v>52.91</v>
      </c>
      <c r="I28" s="19">
        <f t="shared" si="6"/>
        <v>34.84848484848485</v>
      </c>
    </row>
    <row r="29" spans="1:9" ht="12.75">
      <c r="A29" s="6">
        <v>3.2</v>
      </c>
      <c r="B29" s="2">
        <f t="shared" si="0"/>
        <v>5.836026016359453</v>
      </c>
      <c r="C29" s="2">
        <f t="shared" si="4"/>
        <v>5.210737514606654</v>
      </c>
      <c r="D29" s="2">
        <f t="shared" si="7"/>
        <v>5.19</v>
      </c>
      <c r="E29" s="2">
        <v>8.042</v>
      </c>
      <c r="F29" s="2">
        <f t="shared" si="1"/>
        <v>2.8519999999999994</v>
      </c>
      <c r="G29" s="8">
        <f t="shared" si="2"/>
        <v>53.11</v>
      </c>
      <c r="I29" s="19">
        <f t="shared" si="6"/>
        <v>32.67045454545454</v>
      </c>
    </row>
    <row r="30" spans="1:9" ht="12.75">
      <c r="A30">
        <v>3.4</v>
      </c>
      <c r="B30" s="2">
        <f t="shared" si="0"/>
        <v>5.7789115374585105</v>
      </c>
      <c r="C30" s="2">
        <f t="shared" si="4"/>
        <v>5.1597424441593835</v>
      </c>
      <c r="D30" s="2">
        <f t="shared" si="7"/>
        <v>5.14</v>
      </c>
      <c r="E30" s="2">
        <f>E$36+(A30-A$36)*E$38</f>
        <v>8.025314285714286</v>
      </c>
      <c r="F30" s="2">
        <f t="shared" si="1"/>
        <v>2.885314285714286</v>
      </c>
      <c r="G30" s="8">
        <f t="shared" si="2"/>
        <v>53.31</v>
      </c>
      <c r="I30" s="19">
        <f t="shared" si="6"/>
        <v>30.74866310160428</v>
      </c>
    </row>
    <row r="31" spans="1:9" ht="12.75">
      <c r="A31" s="6">
        <v>3.5</v>
      </c>
      <c r="B31" s="2">
        <f t="shared" si="0"/>
        <v>5.750864340883249</v>
      </c>
      <c r="C31" s="2">
        <f t="shared" si="4"/>
        <v>5.134700304360043</v>
      </c>
      <c r="D31" s="2">
        <f t="shared" si="7"/>
        <v>5.11</v>
      </c>
      <c r="E31" s="2">
        <f>E$36+(A31-A$36)*E$38</f>
        <v>8.02442857142857</v>
      </c>
      <c r="F31" s="2">
        <f t="shared" si="1"/>
        <v>2.9144285714285703</v>
      </c>
      <c r="G31" s="8">
        <f t="shared" si="2"/>
        <v>53.41</v>
      </c>
      <c r="I31" s="19">
        <f t="shared" si="6"/>
        <v>29.870129870129865</v>
      </c>
    </row>
    <row r="32" spans="1:9" ht="12.75">
      <c r="A32">
        <v>3.7</v>
      </c>
      <c r="B32" s="2">
        <f t="shared" si="0"/>
        <v>5.69575548486139</v>
      </c>
      <c r="C32" s="2">
        <f t="shared" si="4"/>
        <v>5.08549596862624</v>
      </c>
      <c r="D32" s="2">
        <f t="shared" si="7"/>
        <v>5.07</v>
      </c>
      <c r="E32" s="2">
        <f>E$36+(A32-A$36)*E$38</f>
        <v>8.022657142857142</v>
      </c>
      <c r="F32" s="2">
        <f t="shared" si="1"/>
        <v>2.9526571428571415</v>
      </c>
      <c r="G32" s="8">
        <f t="shared" si="2"/>
        <v>53.61</v>
      </c>
      <c r="I32" s="19">
        <f t="shared" si="6"/>
        <v>28.255528255528255</v>
      </c>
    </row>
    <row r="33" spans="1:9" ht="12.75">
      <c r="A33">
        <v>3.8</v>
      </c>
      <c r="B33" s="2">
        <f t="shared" si="0"/>
        <v>5.668680616526583</v>
      </c>
      <c r="C33" s="2">
        <f t="shared" si="4"/>
        <v>5.061321979041591</v>
      </c>
      <c r="D33" s="2">
        <f t="shared" si="7"/>
        <v>5.04</v>
      </c>
      <c r="E33" s="2">
        <f>E$36+(A33-A$36)*E$38</f>
        <v>8.021771428571428</v>
      </c>
      <c r="F33" s="2">
        <f t="shared" si="1"/>
        <v>2.9817714285714283</v>
      </c>
      <c r="G33" s="8">
        <f t="shared" si="2"/>
        <v>53.709999999999994</v>
      </c>
      <c r="I33" s="19">
        <f t="shared" si="6"/>
        <v>27.511961722488035</v>
      </c>
    </row>
    <row r="34" spans="1:9" ht="12.75">
      <c r="A34">
        <v>3.9</v>
      </c>
      <c r="B34" s="2">
        <f t="shared" si="0"/>
        <v>5.6419169695386575</v>
      </c>
      <c r="C34" s="2">
        <f t="shared" si="4"/>
        <v>5.0374258656595154</v>
      </c>
      <c r="D34" s="2">
        <f t="shared" si="7"/>
        <v>5.02</v>
      </c>
      <c r="E34" s="2">
        <f>E$36+(A34-A$36)*E$38</f>
        <v>8.020885714285713</v>
      </c>
      <c r="F34" s="2">
        <f t="shared" si="1"/>
        <v>3.0008857142857135</v>
      </c>
      <c r="G34" s="8">
        <f t="shared" si="2"/>
        <v>53.81</v>
      </c>
      <c r="I34" s="19">
        <f t="shared" si="6"/>
        <v>26.806526806526804</v>
      </c>
    </row>
    <row r="35" spans="1:9" ht="12.75">
      <c r="A35" s="6">
        <v>4</v>
      </c>
      <c r="B35" s="2">
        <f t="shared" si="0"/>
        <v>5.615458409624982</v>
      </c>
      <c r="C35" s="2">
        <f t="shared" si="4"/>
        <v>5.013802151450877</v>
      </c>
      <c r="D35" s="2">
        <v>5</v>
      </c>
      <c r="E35" s="2">
        <v>8.02</v>
      </c>
      <c r="F35" s="2">
        <f t="shared" si="1"/>
        <v>3.0199999999999996</v>
      </c>
      <c r="G35" s="8">
        <f t="shared" si="2"/>
        <v>53.91</v>
      </c>
      <c r="I35" s="19">
        <f t="shared" si="6"/>
        <v>26.136363636363633</v>
      </c>
    </row>
    <row r="36" spans="1:9" ht="12.75">
      <c r="A36" s="6">
        <v>4</v>
      </c>
      <c r="B36" s="2">
        <f t="shared" si="0"/>
        <v>5.615458409624982</v>
      </c>
      <c r="C36" s="2">
        <f>B36/(1+D$5)+C$5</f>
        <v>5.013802151450877</v>
      </c>
      <c r="D36" s="2">
        <v>5</v>
      </c>
      <c r="E36" s="2">
        <f>E35</f>
        <v>8.02</v>
      </c>
      <c r="F36" s="2">
        <f t="shared" si="1"/>
        <v>3.0199999999999996</v>
      </c>
      <c r="G36" s="8">
        <f t="shared" si="2"/>
        <v>53.91</v>
      </c>
      <c r="I36" s="19">
        <f t="shared" si="6"/>
        <v>26.136363636363633</v>
      </c>
    </row>
    <row r="37" spans="1:5" ht="12.75">
      <c r="A37" s="2">
        <f>A36-A11</f>
        <v>3.5</v>
      </c>
      <c r="E37" s="2">
        <f>E36-E11</f>
        <v>-0.031000000000000583</v>
      </c>
    </row>
    <row r="38" spans="5:14" ht="12.75">
      <c r="E38" s="2">
        <f>E37/A37</f>
        <v>-0.008857142857143023</v>
      </c>
      <c r="K38" t="s">
        <v>8</v>
      </c>
      <c r="L38" t="s">
        <v>6</v>
      </c>
      <c r="M38" t="s">
        <v>173</v>
      </c>
      <c r="N38" t="s">
        <v>172</v>
      </c>
    </row>
    <row r="39" spans="9:14" ht="12.75">
      <c r="I39">
        <f>2*I3-I4</f>
        <v>976</v>
      </c>
      <c r="J39" t="s">
        <v>120</v>
      </c>
      <c r="K39" s="3">
        <f>K$1+I39</f>
        <v>7354.39</v>
      </c>
      <c r="L39" s="4">
        <f>-F$3/K39</f>
        <v>-54.19620118051939</v>
      </c>
      <c r="M39">
        <f>2*M3-D36</f>
        <v>10.13</v>
      </c>
      <c r="N39" s="5">
        <f>L39+M39*M39/2</f>
        <v>-2.8877511805193805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E41"/>
  <sheetViews>
    <sheetView workbookViewId="0" topLeftCell="A1">
      <selection activeCell="F15" sqref="F15"/>
    </sheetView>
  </sheetViews>
  <sheetFormatPr defaultColWidth="9.140625" defaultRowHeight="12.75"/>
  <cols>
    <col min="1" max="1" width="9.421875" style="0" customWidth="1"/>
    <col min="2" max="2" width="9.8515625" style="0" customWidth="1"/>
  </cols>
  <sheetData>
    <row r="5" spans="2:5" ht="12.75">
      <c r="B5" s="14">
        <f>ROUND('[1]Cost'!B12/10000+0.4,0)*10</f>
        <v>180</v>
      </c>
      <c r="C5">
        <v>120</v>
      </c>
      <c r="D5">
        <v>95</v>
      </c>
      <c r="E5">
        <v>72</v>
      </c>
    </row>
    <row r="6" spans="2:5" ht="12.75">
      <c r="B6">
        <v>230</v>
      </c>
      <c r="C6">
        <v>175</v>
      </c>
      <c r="D6">
        <v>147</v>
      </c>
      <c r="E6">
        <v>128</v>
      </c>
    </row>
    <row r="7" spans="1:5" ht="12.75">
      <c r="A7" t="s">
        <v>15</v>
      </c>
      <c r="B7" t="s">
        <v>386</v>
      </c>
      <c r="C7" t="s">
        <v>387</v>
      </c>
      <c r="D7" t="s">
        <v>388</v>
      </c>
      <c r="E7" t="s">
        <v>389</v>
      </c>
    </row>
    <row r="8" spans="1:5" ht="12.75">
      <c r="A8" s="6">
        <v>0.3</v>
      </c>
      <c r="B8" s="19">
        <f>B$6/$A8/2.2</f>
        <v>348.4848484848485</v>
      </c>
      <c r="C8" s="19">
        <f aca="true" t="shared" si="0" ref="C8:E34">C$6/$A8/2.2</f>
        <v>265.1515151515151</v>
      </c>
      <c r="D8" s="19">
        <f t="shared" si="0"/>
        <v>222.72727272727272</v>
      </c>
      <c r="E8" s="19">
        <f t="shared" si="0"/>
        <v>193.93939393939394</v>
      </c>
    </row>
    <row r="9" spans="1:5" ht="12.75">
      <c r="A9" s="6">
        <v>0.5</v>
      </c>
      <c r="B9" s="19">
        <f>B$6/$A9/2.2</f>
        <v>209.09090909090907</v>
      </c>
      <c r="C9" s="19">
        <f t="shared" si="0"/>
        <v>159.09090909090907</v>
      </c>
      <c r="D9" s="19">
        <f t="shared" si="0"/>
        <v>133.63636363636363</v>
      </c>
      <c r="E9" s="19">
        <f t="shared" si="0"/>
        <v>116.36363636363636</v>
      </c>
    </row>
    <row r="10" spans="1:5" ht="12.75">
      <c r="A10">
        <v>0.6</v>
      </c>
      <c r="B10" s="19">
        <f>B$6/$A10/2.2</f>
        <v>174.24242424242425</v>
      </c>
      <c r="C10" s="19">
        <f t="shared" si="0"/>
        <v>132.57575757575756</v>
      </c>
      <c r="D10" s="19">
        <f t="shared" si="0"/>
        <v>111.36363636363636</v>
      </c>
      <c r="E10" s="19">
        <f t="shared" si="0"/>
        <v>96.96969696969697</v>
      </c>
    </row>
    <row r="11" spans="1:5" ht="12.75">
      <c r="A11">
        <v>0.7</v>
      </c>
      <c r="B11" s="19">
        <f>B$6/$A11/2.2</f>
        <v>149.35064935064935</v>
      </c>
      <c r="C11" s="19">
        <f t="shared" si="0"/>
        <v>113.63636363636364</v>
      </c>
      <c r="D11" s="19">
        <f t="shared" si="0"/>
        <v>95.45454545454545</v>
      </c>
      <c r="E11" s="19">
        <f t="shared" si="0"/>
        <v>83.11688311688312</v>
      </c>
    </row>
    <row r="12" spans="1:5" ht="12.75">
      <c r="A12">
        <v>0.8</v>
      </c>
      <c r="B12" s="19">
        <f>B$6/$A12/2.2</f>
        <v>130.68181818181816</v>
      </c>
      <c r="C12" s="19">
        <f t="shared" si="0"/>
        <v>99.43181818181817</v>
      </c>
      <c r="D12" s="19">
        <f t="shared" si="0"/>
        <v>83.52272727272727</v>
      </c>
      <c r="E12" s="19">
        <f t="shared" si="0"/>
        <v>72.72727272727272</v>
      </c>
    </row>
    <row r="13" spans="1:5" ht="12.75">
      <c r="A13" s="6">
        <v>1</v>
      </c>
      <c r="B13" s="19">
        <f>B$6/$A13/2.2</f>
        <v>104.54545454545453</v>
      </c>
      <c r="C13" s="19">
        <f t="shared" si="0"/>
        <v>79.54545454545453</v>
      </c>
      <c r="D13" s="19">
        <f t="shared" si="0"/>
        <v>66.81818181818181</v>
      </c>
      <c r="E13" s="19">
        <f t="shared" si="0"/>
        <v>58.18181818181818</v>
      </c>
    </row>
    <row r="14" spans="1:5" ht="12.75">
      <c r="A14" s="6">
        <v>1.1</v>
      </c>
      <c r="B14" s="19">
        <f>B$6/$A14/2.2</f>
        <v>95.04132231404957</v>
      </c>
      <c r="C14" s="19">
        <f t="shared" si="0"/>
        <v>72.31404958677685</v>
      </c>
      <c r="D14" s="19">
        <f t="shared" si="0"/>
        <v>60.74380165289255</v>
      </c>
      <c r="E14" s="19">
        <f t="shared" si="0"/>
        <v>52.89256198347107</v>
      </c>
    </row>
    <row r="15" spans="1:5" ht="12.75">
      <c r="A15" s="6">
        <v>1.2</v>
      </c>
      <c r="B15" s="19">
        <f>B$6/$A15/2.2</f>
        <v>87.12121212121212</v>
      </c>
      <c r="C15" s="19">
        <f t="shared" si="0"/>
        <v>66.28787878787878</v>
      </c>
      <c r="D15" s="19">
        <f t="shared" si="0"/>
        <v>55.68181818181818</v>
      </c>
      <c r="E15" s="19">
        <f t="shared" si="0"/>
        <v>48.484848484848484</v>
      </c>
    </row>
    <row r="16" spans="1:5" ht="12.75">
      <c r="A16" s="6">
        <v>1.3</v>
      </c>
      <c r="B16" s="19">
        <f>B$6/$A16/2.2</f>
        <v>80.4195804195804</v>
      </c>
      <c r="C16" s="19">
        <f t="shared" si="0"/>
        <v>61.18881118881118</v>
      </c>
      <c r="D16" s="19">
        <f t="shared" si="0"/>
        <v>51.39860139860139</v>
      </c>
      <c r="E16" s="19">
        <f t="shared" si="0"/>
        <v>44.755244755244746</v>
      </c>
    </row>
    <row r="17" spans="1:5" ht="12.75">
      <c r="A17" s="6">
        <v>1.5</v>
      </c>
      <c r="B17" s="19">
        <f>B$6/$A17/2.2</f>
        <v>69.6969696969697</v>
      </c>
      <c r="C17" s="19">
        <f t="shared" si="0"/>
        <v>53.03030303030303</v>
      </c>
      <c r="D17" s="19">
        <f t="shared" si="0"/>
        <v>44.54545454545454</v>
      </c>
      <c r="E17" s="19">
        <f t="shared" si="0"/>
        <v>38.78787878787878</v>
      </c>
    </row>
    <row r="18" spans="1:5" ht="12.75">
      <c r="A18" s="6">
        <v>1.6</v>
      </c>
      <c r="B18" s="19">
        <f>B$6/$A18/2.2</f>
        <v>65.34090909090908</v>
      </c>
      <c r="C18" s="19">
        <f t="shared" si="0"/>
        <v>49.715909090909086</v>
      </c>
      <c r="D18" s="19">
        <f t="shared" si="0"/>
        <v>41.76136363636363</v>
      </c>
      <c r="E18" s="19">
        <f t="shared" si="0"/>
        <v>36.36363636363636</v>
      </c>
    </row>
    <row r="19" spans="1:5" ht="12.75">
      <c r="A19" s="6">
        <v>1.8</v>
      </c>
      <c r="B19" s="19">
        <f>B$6/$A19/2.2</f>
        <v>58.080808080808076</v>
      </c>
      <c r="C19" s="19">
        <f t="shared" si="0"/>
        <v>44.19191919191918</v>
      </c>
      <c r="D19" s="19">
        <f t="shared" si="0"/>
        <v>37.12121212121212</v>
      </c>
      <c r="E19" s="19">
        <f t="shared" si="0"/>
        <v>32.323232323232325</v>
      </c>
    </row>
    <row r="20" spans="1:5" ht="12.75">
      <c r="A20" s="6">
        <v>2</v>
      </c>
      <c r="B20" s="19">
        <f>B$6/$A20/2.2</f>
        <v>52.272727272727266</v>
      </c>
      <c r="C20" s="19">
        <f t="shared" si="0"/>
        <v>39.772727272727266</v>
      </c>
      <c r="D20" s="19">
        <f t="shared" si="0"/>
        <v>33.40909090909091</v>
      </c>
      <c r="E20" s="19">
        <f t="shared" si="0"/>
        <v>29.09090909090909</v>
      </c>
    </row>
    <row r="21" spans="1:5" ht="12.75">
      <c r="A21">
        <v>2.2</v>
      </c>
      <c r="B21" s="19">
        <f>B$6/$A21/2.2</f>
        <v>47.52066115702478</v>
      </c>
      <c r="C21" s="19">
        <f t="shared" si="0"/>
        <v>36.15702479338842</v>
      </c>
      <c r="D21" s="19">
        <f t="shared" si="0"/>
        <v>30.371900826446275</v>
      </c>
      <c r="E21" s="19">
        <f t="shared" si="0"/>
        <v>26.446280991735534</v>
      </c>
    </row>
    <row r="22" spans="1:5" ht="12.75">
      <c r="A22">
        <v>2.4</v>
      </c>
      <c r="B22" s="19">
        <f>B$6/$A22/2.2</f>
        <v>43.56060606060606</v>
      </c>
      <c r="C22" s="19">
        <f t="shared" si="0"/>
        <v>33.14393939393939</v>
      </c>
      <c r="D22" s="19">
        <f t="shared" si="0"/>
        <v>27.84090909090909</v>
      </c>
      <c r="E22" s="19">
        <f t="shared" si="0"/>
        <v>24.242424242424242</v>
      </c>
    </row>
    <row r="23" spans="1:5" ht="12.75">
      <c r="A23">
        <v>2.5</v>
      </c>
      <c r="B23" s="19">
        <f>B$6/$A23/2.2</f>
        <v>41.81818181818181</v>
      </c>
      <c r="C23" s="19">
        <f t="shared" si="0"/>
        <v>31.818181818181817</v>
      </c>
      <c r="D23" s="19">
        <f t="shared" si="0"/>
        <v>26.727272727272723</v>
      </c>
      <c r="E23" s="19">
        <f t="shared" si="0"/>
        <v>23.272727272727273</v>
      </c>
    </row>
    <row r="24" spans="1:5" ht="12.75">
      <c r="A24">
        <v>2.6</v>
      </c>
      <c r="B24" s="19">
        <f>B$6/$A24/2.2</f>
        <v>40.2097902097902</v>
      </c>
      <c r="C24" s="19">
        <f t="shared" si="0"/>
        <v>30.59440559440559</v>
      </c>
      <c r="D24" s="19">
        <f t="shared" si="0"/>
        <v>25.699300699300696</v>
      </c>
      <c r="E24" s="19">
        <f t="shared" si="0"/>
        <v>22.377622377622373</v>
      </c>
    </row>
    <row r="25" spans="1:5" ht="12.75">
      <c r="A25" s="6">
        <v>2.8</v>
      </c>
      <c r="B25" s="19">
        <f>B$6/$A25/2.2</f>
        <v>37.33766233766234</v>
      </c>
      <c r="C25" s="19">
        <f t="shared" si="0"/>
        <v>28.40909090909091</v>
      </c>
      <c r="D25" s="19">
        <f t="shared" si="0"/>
        <v>23.863636363636363</v>
      </c>
      <c r="E25" s="19">
        <f t="shared" si="0"/>
        <v>20.77922077922078</v>
      </c>
    </row>
    <row r="26" spans="1:5" ht="12.75">
      <c r="A26" s="6">
        <v>3</v>
      </c>
      <c r="B26" s="19">
        <f>B$6/$A26/2.2</f>
        <v>34.84848484848485</v>
      </c>
      <c r="C26" s="19">
        <f t="shared" si="0"/>
        <v>26.515151515151516</v>
      </c>
      <c r="D26" s="19">
        <f t="shared" si="0"/>
        <v>22.27272727272727</v>
      </c>
      <c r="E26" s="19">
        <f t="shared" si="0"/>
        <v>19.39393939393939</v>
      </c>
    </row>
    <row r="27" spans="1:5" ht="12.75">
      <c r="A27" s="6">
        <v>3.2</v>
      </c>
      <c r="B27" s="19">
        <f>B$6/$A27/2.2</f>
        <v>32.67045454545454</v>
      </c>
      <c r="C27" s="19">
        <f t="shared" si="0"/>
        <v>24.857954545454543</v>
      </c>
      <c r="D27" s="19">
        <f t="shared" si="0"/>
        <v>20.880681818181817</v>
      </c>
      <c r="E27" s="19">
        <f t="shared" si="0"/>
        <v>18.18181818181818</v>
      </c>
    </row>
    <row r="28" spans="1:5" ht="12.75">
      <c r="A28">
        <v>3.4</v>
      </c>
      <c r="B28" s="19">
        <f>B$6/$A28/2.2</f>
        <v>30.74866310160428</v>
      </c>
      <c r="C28" s="19">
        <f t="shared" si="0"/>
        <v>23.39572192513369</v>
      </c>
      <c r="D28" s="19">
        <f t="shared" si="0"/>
        <v>19.652406417112296</v>
      </c>
      <c r="E28" s="19">
        <f t="shared" si="0"/>
        <v>17.112299465240643</v>
      </c>
    </row>
    <row r="29" spans="1:5" ht="12.75">
      <c r="A29" s="6">
        <v>3.5</v>
      </c>
      <c r="B29" s="19">
        <f>B$6/$A29/2.2</f>
        <v>29.870129870129865</v>
      </c>
      <c r="C29" s="19">
        <f t="shared" si="0"/>
        <v>22.727272727272727</v>
      </c>
      <c r="D29" s="19">
        <f t="shared" si="0"/>
        <v>19.09090909090909</v>
      </c>
      <c r="E29" s="19">
        <f t="shared" si="0"/>
        <v>16.623376623376622</v>
      </c>
    </row>
    <row r="30" spans="1:5" ht="12.75">
      <c r="A30">
        <v>3.7</v>
      </c>
      <c r="B30" s="19">
        <f>B$6/$A30/2.2</f>
        <v>28.255528255528255</v>
      </c>
      <c r="C30" s="19">
        <f t="shared" si="0"/>
        <v>21.498771498771497</v>
      </c>
      <c r="D30" s="19">
        <f t="shared" si="0"/>
        <v>18.058968058968055</v>
      </c>
      <c r="E30" s="19">
        <f t="shared" si="0"/>
        <v>15.724815724815722</v>
      </c>
    </row>
    <row r="31" spans="1:5" ht="12.75">
      <c r="A31">
        <v>3.8</v>
      </c>
      <c r="B31" s="19">
        <f>B$6/$A31/2.2</f>
        <v>27.511961722488035</v>
      </c>
      <c r="C31" s="19">
        <f t="shared" si="0"/>
        <v>20.933014354066984</v>
      </c>
      <c r="D31" s="19">
        <f t="shared" si="0"/>
        <v>17.58373205741627</v>
      </c>
      <c r="E31" s="19">
        <f t="shared" si="0"/>
        <v>15.311004784688993</v>
      </c>
    </row>
    <row r="32" spans="1:5" ht="12.75">
      <c r="A32">
        <v>3.9</v>
      </c>
      <c r="B32" s="19">
        <f>B$6/$A32/2.2</f>
        <v>26.806526806526804</v>
      </c>
      <c r="C32" s="19">
        <f t="shared" si="0"/>
        <v>20.396270396270396</v>
      </c>
      <c r="D32" s="19">
        <f t="shared" si="0"/>
        <v>17.132867132867133</v>
      </c>
      <c r="E32" s="19">
        <f t="shared" si="0"/>
        <v>14.91841491841492</v>
      </c>
    </row>
    <row r="33" spans="1:5" ht="12.75">
      <c r="A33" s="6">
        <v>4</v>
      </c>
      <c r="B33" s="19">
        <f>B$6/$A33/2.2</f>
        <v>26.136363636363633</v>
      </c>
      <c r="C33" s="19">
        <f t="shared" si="0"/>
        <v>19.886363636363633</v>
      </c>
      <c r="D33" s="19">
        <f t="shared" si="0"/>
        <v>16.704545454545453</v>
      </c>
      <c r="E33" s="19">
        <f t="shared" si="0"/>
        <v>14.545454545454545</v>
      </c>
    </row>
    <row r="34" spans="1:5" ht="12.75">
      <c r="A34" s="6">
        <v>4</v>
      </c>
      <c r="B34" s="19">
        <f>B$6/$A34/2.2</f>
        <v>26.136363636363633</v>
      </c>
      <c r="C34" s="19">
        <f t="shared" si="0"/>
        <v>19.886363636363633</v>
      </c>
      <c r="D34" s="19">
        <f t="shared" si="0"/>
        <v>16.704545454545453</v>
      </c>
      <c r="E34" s="19">
        <f t="shared" si="0"/>
        <v>14.545454545454545</v>
      </c>
    </row>
    <row r="35" ht="12.75">
      <c r="A35" s="2">
        <f>A34-A9</f>
        <v>3.5</v>
      </c>
    </row>
    <row r="37" ht="12.75">
      <c r="B37">
        <f>2*B3-B4</f>
        <v>0</v>
      </c>
    </row>
    <row r="39" spans="1:2" ht="12.75">
      <c r="A39" s="6">
        <v>5</v>
      </c>
      <c r="B39" s="19">
        <f>B$5/A39/2.2</f>
        <v>16.363636363636363</v>
      </c>
    </row>
    <row r="40" spans="1:2" ht="12.75">
      <c r="A40" s="6">
        <v>10</v>
      </c>
      <c r="B40" s="19">
        <f>B$5/A40/2.2</f>
        <v>8.181818181818182</v>
      </c>
    </row>
    <row r="41" spans="1:2" ht="12.75">
      <c r="A41" s="6">
        <v>9.5</v>
      </c>
      <c r="B41" s="19">
        <f>B$5/A41/2.2</f>
        <v>8.612440191387558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workbookViewId="0" topLeftCell="A1">
      <selection activeCell="E5" sqref="E5"/>
    </sheetView>
  </sheetViews>
  <sheetFormatPr defaultColWidth="9.140625" defaultRowHeight="12.75"/>
  <cols>
    <col min="1" max="1" width="11.00390625" style="0" customWidth="1"/>
    <col min="2" max="3" width="9.28125" style="0" customWidth="1"/>
    <col min="4" max="4" width="10.28125" style="0" customWidth="1"/>
    <col min="5" max="5" width="10.140625" style="0" customWidth="1"/>
    <col min="6" max="6" width="10.421875" style="0" customWidth="1"/>
  </cols>
  <sheetData>
    <row r="1" ht="12.75">
      <c r="A1" t="s">
        <v>361</v>
      </c>
    </row>
    <row r="2" spans="2:6" ht="12.75">
      <c r="B2" t="s">
        <v>362</v>
      </c>
      <c r="E2" s="15">
        <v>100</v>
      </c>
      <c r="F2" t="s">
        <v>79</v>
      </c>
    </row>
    <row r="3" spans="2:5" ht="12.75">
      <c r="B3" t="s">
        <v>363</v>
      </c>
      <c r="E3" s="15">
        <v>100</v>
      </c>
    </row>
    <row r="4" spans="2:6" ht="12.75">
      <c r="B4" t="s">
        <v>83</v>
      </c>
      <c r="E4" s="58">
        <f>E2+E3</f>
        <v>200</v>
      </c>
      <c r="F4" t="s">
        <v>79</v>
      </c>
    </row>
    <row r="6" spans="2:7" ht="12.75">
      <c r="B6" t="s">
        <v>103</v>
      </c>
      <c r="D6" s="25">
        <v>0.2</v>
      </c>
      <c r="F6" s="23">
        <f>1000000*E4/365*D6</f>
        <v>109589.04109589041</v>
      </c>
      <c r="G6" t="s">
        <v>80</v>
      </c>
    </row>
    <row r="8" spans="2:6" ht="12.75">
      <c r="B8" t="s">
        <v>174</v>
      </c>
      <c r="F8" s="59">
        <f>B83</f>
        <v>19096</v>
      </c>
    </row>
    <row r="9" spans="2:6" ht="12.75">
      <c r="B9" t="s">
        <v>364</v>
      </c>
      <c r="F9" s="59">
        <v>100000</v>
      </c>
    </row>
    <row r="10" spans="2:6" ht="12.75">
      <c r="B10" t="s">
        <v>365</v>
      </c>
      <c r="F10" s="59">
        <f>1000*ROUND((F9+F8)/1000+0.49,0)</f>
        <v>120000</v>
      </c>
    </row>
    <row r="11" ht="12.75">
      <c r="D11" s="55"/>
    </row>
    <row r="13" spans="2:6" ht="12.75">
      <c r="B13" t="s">
        <v>321</v>
      </c>
      <c r="E13">
        <v>60</v>
      </c>
      <c r="F13" t="s">
        <v>366</v>
      </c>
    </row>
    <row r="14" spans="2:6" ht="12.75">
      <c r="B14" t="s">
        <v>322</v>
      </c>
      <c r="E14">
        <v>20</v>
      </c>
      <c r="F14" t="s">
        <v>367</v>
      </c>
    </row>
    <row r="15" spans="2:6" ht="12.75">
      <c r="B15" t="s">
        <v>323</v>
      </c>
      <c r="E15">
        <v>35</v>
      </c>
      <c r="F15" t="s">
        <v>368</v>
      </c>
    </row>
    <row r="16" spans="2:5" ht="12.75">
      <c r="B16" t="s">
        <v>369</v>
      </c>
      <c r="E16">
        <f>Falcon5!B82</f>
        <v>12</v>
      </c>
    </row>
    <row r="17" spans="2:5" ht="12.75">
      <c r="B17" t="s">
        <v>375</v>
      </c>
      <c r="E17" s="10">
        <f>Falcon5!J82*F10/1000000</f>
        <v>20.04</v>
      </c>
    </row>
    <row r="18" spans="2:5" ht="12.75">
      <c r="B18" t="s">
        <v>324</v>
      </c>
      <c r="E18" s="10">
        <f>Falcon5!C81+Falcon5!C82</f>
        <v>27.916</v>
      </c>
    </row>
    <row r="19" spans="2:5" ht="12.75">
      <c r="B19" t="s">
        <v>370</v>
      </c>
      <c r="E19" s="10">
        <f>Falcon5!D81</f>
        <v>19.096</v>
      </c>
    </row>
    <row r="20" spans="2:5" ht="12.75">
      <c r="B20" t="s">
        <v>371</v>
      </c>
      <c r="E20" s="10">
        <f>Falcon5!E81</f>
        <v>12.3792</v>
      </c>
    </row>
    <row r="21" spans="2:6" ht="12.75">
      <c r="B21" t="s">
        <v>114</v>
      </c>
      <c r="E21" s="26">
        <f>ROUND(SUM(E13:E20),0)</f>
        <v>206</v>
      </c>
      <c r="F21" t="s">
        <v>79</v>
      </c>
    </row>
    <row r="22" ht="12.75">
      <c r="E22" s="26"/>
    </row>
    <row r="23" spans="2:7" ht="12.75">
      <c r="B23" t="s">
        <v>103</v>
      </c>
      <c r="D23" s="25">
        <f>D6</f>
        <v>0.2</v>
      </c>
      <c r="F23" s="26">
        <f>1000000*E21/365*D6</f>
        <v>112876.71232876713</v>
      </c>
      <c r="G23" t="s">
        <v>80</v>
      </c>
    </row>
    <row r="24" spans="4:6" ht="12.75">
      <c r="D24" s="25"/>
      <c r="F24" s="26"/>
    </row>
    <row r="26" spans="1:5" ht="12.75">
      <c r="A26" s="5" t="s">
        <v>93</v>
      </c>
      <c r="B26">
        <v>1</v>
      </c>
      <c r="C26">
        <v>2</v>
      </c>
      <c r="D26">
        <v>4</v>
      </c>
      <c r="E26">
        <v>14</v>
      </c>
    </row>
    <row r="27" spans="1:5" ht="12.75">
      <c r="A27" t="s">
        <v>81</v>
      </c>
      <c r="B27">
        <v>4</v>
      </c>
      <c r="C27">
        <v>4</v>
      </c>
      <c r="D27">
        <v>4</v>
      </c>
      <c r="E27">
        <v>4</v>
      </c>
    </row>
    <row r="29" spans="1:2" ht="12.75">
      <c r="A29" t="s">
        <v>314</v>
      </c>
      <c r="B29" s="5"/>
    </row>
    <row r="30" spans="1:5" ht="12.75">
      <c r="A30" t="s">
        <v>379</v>
      </c>
      <c r="B30" s="10">
        <f>$F$6/B26</f>
        <v>109589.04109589041</v>
      </c>
      <c r="C30" s="10">
        <f>$F$6/C26</f>
        <v>54794.520547945205</v>
      </c>
      <c r="D30" s="10">
        <f>$F$6/D26</f>
        <v>27397.260273972603</v>
      </c>
      <c r="E30" s="10">
        <f>$F$6/E26</f>
        <v>7827.788649706458</v>
      </c>
    </row>
    <row r="31" spans="1:5" ht="12.75">
      <c r="A31" t="s">
        <v>380</v>
      </c>
      <c r="B31" s="10">
        <f>$F10</f>
        <v>120000</v>
      </c>
      <c r="C31" s="10">
        <f>$F10</f>
        <v>120000</v>
      </c>
      <c r="D31" s="10">
        <f>$F10</f>
        <v>120000</v>
      </c>
      <c r="E31" s="10">
        <f>$F10</f>
        <v>120000</v>
      </c>
    </row>
    <row r="32" spans="1:5" ht="12.75">
      <c r="A32" t="s">
        <v>373</v>
      </c>
      <c r="B32" s="10">
        <f>B30+$F10</f>
        <v>229589.0410958904</v>
      </c>
      <c r="C32" s="10">
        <f>C30+$F10</f>
        <v>174794.5205479452</v>
      </c>
      <c r="D32" s="10">
        <f>D30+$F10</f>
        <v>147397.2602739726</v>
      </c>
      <c r="E32" s="10">
        <f>E30+$F10</f>
        <v>127827.78864970646</v>
      </c>
    </row>
    <row r="33" spans="2:5" ht="12.75">
      <c r="B33" s="10"/>
      <c r="C33" s="10"/>
      <c r="D33" s="10"/>
      <c r="E33" s="10"/>
    </row>
    <row r="34" ht="12.75">
      <c r="A34" t="s">
        <v>33</v>
      </c>
    </row>
    <row r="35" spans="1:5" ht="12.75">
      <c r="A35" t="s">
        <v>379</v>
      </c>
      <c r="B35" s="10">
        <f>F23/B26</f>
        <v>112876.71232876713</v>
      </c>
      <c r="C35" s="10">
        <f>$F23/C26</f>
        <v>56438.356164383564</v>
      </c>
      <c r="D35" s="10">
        <f>F23/D26</f>
        <v>28219.178082191782</v>
      </c>
      <c r="E35" s="10">
        <f>F23/E26</f>
        <v>8062.622309197652</v>
      </c>
    </row>
    <row r="36" spans="2:5" ht="12.75">
      <c r="B36" s="5"/>
      <c r="C36" s="5"/>
      <c r="D36" s="5"/>
      <c r="E36" s="5"/>
    </row>
    <row r="38" spans="1:6" ht="12.75">
      <c r="A38" t="s">
        <v>378</v>
      </c>
      <c r="B38" s="10">
        <f>B32+B35</f>
        <v>342465.7534246575</v>
      </c>
      <c r="C38" s="10">
        <f>C32+C35</f>
        <v>231232.87671232875</v>
      </c>
      <c r="D38" s="10">
        <f>D32+D35</f>
        <v>175616.4383561644</v>
      </c>
      <c r="E38" s="10">
        <f>E32+E35</f>
        <v>135890.4109589041</v>
      </c>
      <c r="F38" t="s">
        <v>315</v>
      </c>
    </row>
    <row r="39" spans="1:5" ht="12.75">
      <c r="A39" s="5" t="s">
        <v>82</v>
      </c>
      <c r="B39" s="5">
        <f>B38/B27/1000</f>
        <v>85.61643835616438</v>
      </c>
      <c r="C39" s="5">
        <f>C38/C27/1000</f>
        <v>57.80821917808219</v>
      </c>
      <c r="D39" s="5">
        <f>D38/D27/1000</f>
        <v>43.9041095890411</v>
      </c>
      <c r="E39" s="5">
        <f>E38/E27/1000</f>
        <v>33.97260273972603</v>
      </c>
    </row>
    <row r="40" spans="1:5" ht="12.75">
      <c r="A40" s="5" t="s">
        <v>43</v>
      </c>
      <c r="B40" s="5">
        <f>B39/2.2</f>
        <v>38.916562889165625</v>
      </c>
      <c r="C40" s="5">
        <f>C39/2.2</f>
        <v>26.27646326276463</v>
      </c>
      <c r="D40" s="5">
        <f>D39/2.2</f>
        <v>19.956413449564135</v>
      </c>
      <c r="E40" s="5">
        <f>E39/2.2</f>
        <v>15.442092154420921</v>
      </c>
    </row>
    <row r="41" spans="2:4" ht="12.75">
      <c r="B41" s="5"/>
      <c r="C41" s="5"/>
      <c r="D41" s="5"/>
    </row>
    <row r="42" spans="1:5" ht="12.75">
      <c r="A42" s="5" t="s">
        <v>84</v>
      </c>
      <c r="B42">
        <v>10</v>
      </c>
      <c r="C42">
        <f>B42</f>
        <v>10</v>
      </c>
      <c r="D42">
        <f>C42</f>
        <v>10</v>
      </c>
      <c r="E42">
        <f>D42</f>
        <v>10</v>
      </c>
    </row>
    <row r="43" spans="1:5" ht="12.75">
      <c r="A43" t="s">
        <v>94</v>
      </c>
      <c r="B43" s="10">
        <f>B38/B42</f>
        <v>34246.57534246575</v>
      </c>
      <c r="C43" s="10">
        <f>C38/C42</f>
        <v>23123.287671232876</v>
      </c>
      <c r="D43" s="10">
        <f>D38/D42</f>
        <v>17561.64383561644</v>
      </c>
      <c r="E43" s="10">
        <f>E38/E42</f>
        <v>13589.04109589041</v>
      </c>
    </row>
    <row r="44" spans="2:5" ht="12.75">
      <c r="B44" s="10"/>
      <c r="C44" s="10"/>
      <c r="D44" s="10"/>
      <c r="E44" s="10"/>
    </row>
    <row r="45" spans="4:6" ht="12.75">
      <c r="D45">
        <f>D42*E45</f>
        <v>120</v>
      </c>
      <c r="E45">
        <v>12</v>
      </c>
      <c r="F45" t="s">
        <v>93</v>
      </c>
    </row>
    <row r="46" spans="4:6" ht="12.75">
      <c r="D46">
        <f>D45*E46</f>
        <v>840</v>
      </c>
      <c r="E46">
        <v>7</v>
      </c>
      <c r="F46" t="s">
        <v>138</v>
      </c>
    </row>
    <row r="47" spans="4:6" ht="12.75">
      <c r="D47">
        <f>D46*E47</f>
        <v>43680</v>
      </c>
      <c r="E47">
        <v>52</v>
      </c>
      <c r="F47" t="s">
        <v>139</v>
      </c>
    </row>
    <row r="48" spans="2:6" ht="12.75">
      <c r="B48" t="s">
        <v>131</v>
      </c>
      <c r="C48" t="s">
        <v>130</v>
      </c>
      <c r="D48">
        <f>D47*E48</f>
        <v>2184</v>
      </c>
      <c r="E48" s="2">
        <v>0.05</v>
      </c>
      <c r="F48" t="s">
        <v>129</v>
      </c>
    </row>
    <row r="50" ht="12.75">
      <c r="A50" t="s">
        <v>115</v>
      </c>
    </row>
    <row r="51" ht="12.75">
      <c r="A51" t="s">
        <v>372</v>
      </c>
    </row>
    <row r="54" spans="1:6" ht="12.75">
      <c r="A54" t="s">
        <v>374</v>
      </c>
      <c r="E54">
        <v>2</v>
      </c>
      <c r="F54" t="s">
        <v>376</v>
      </c>
    </row>
    <row r="55" spans="2:6" ht="12.75">
      <c r="B55">
        <v>2</v>
      </c>
      <c r="C55">
        <v>3</v>
      </c>
      <c r="D55">
        <v>4</v>
      </c>
      <c r="E55">
        <v>12</v>
      </c>
      <c r="F55" t="s">
        <v>377</v>
      </c>
    </row>
    <row r="56" spans="2:5" ht="12.75">
      <c r="B56" s="10">
        <f>C32</f>
        <v>174794.5205479452</v>
      </c>
      <c r="C56" s="10">
        <f>F6/C55+F10</f>
        <v>156529.6803652968</v>
      </c>
      <c r="D56" s="10">
        <f>D32</f>
        <v>147397.2602739726</v>
      </c>
      <c r="E56" s="10">
        <f>E32</f>
        <v>127827.78864970646</v>
      </c>
    </row>
    <row r="72" ht="12.75">
      <c r="F72" t="s">
        <v>108</v>
      </c>
    </row>
    <row r="73" spans="1:7" ht="12.75">
      <c r="A73" t="s">
        <v>85</v>
      </c>
      <c r="B73">
        <v>4000</v>
      </c>
      <c r="C73" t="s">
        <v>86</v>
      </c>
      <c r="F73">
        <v>8000</v>
      </c>
      <c r="G73" t="s">
        <v>109</v>
      </c>
    </row>
    <row r="74" spans="2:7" ht="12.75">
      <c r="B74">
        <v>1000</v>
      </c>
      <c r="C74" t="s">
        <v>87</v>
      </c>
      <c r="F74">
        <v>120</v>
      </c>
      <c r="G74" t="s">
        <v>110</v>
      </c>
    </row>
    <row r="75" spans="2:8" ht="12.75">
      <c r="B75">
        <f>B73-B74</f>
        <v>3000</v>
      </c>
      <c r="C75" t="s">
        <v>88</v>
      </c>
      <c r="F75" s="10">
        <f>ROUND(F73/F74,0)</f>
        <v>67</v>
      </c>
      <c r="G75" t="s">
        <v>106</v>
      </c>
      <c r="H75" t="s">
        <v>176</v>
      </c>
    </row>
    <row r="76" spans="2:8" ht="12.75">
      <c r="B76">
        <v>150</v>
      </c>
      <c r="C76" t="s">
        <v>89</v>
      </c>
      <c r="F76">
        <v>725</v>
      </c>
      <c r="G76" t="s">
        <v>107</v>
      </c>
      <c r="H76">
        <f>F73*F76</f>
        <v>5800000</v>
      </c>
    </row>
    <row r="77" spans="2:7" ht="12.75">
      <c r="B77">
        <f>B75/B76</f>
        <v>20</v>
      </c>
      <c r="C77" t="s">
        <v>90</v>
      </c>
      <c r="F77">
        <f>F76*F75</f>
        <v>48575</v>
      </c>
      <c r="G77" t="s">
        <v>175</v>
      </c>
    </row>
    <row r="78" spans="2:3" ht="12.75">
      <c r="B78">
        <v>3</v>
      </c>
      <c r="C78" t="s">
        <v>91</v>
      </c>
    </row>
    <row r="79" spans="2:7" ht="12.75">
      <c r="B79">
        <f>B77-B78</f>
        <v>17</v>
      </c>
      <c r="C79" t="s">
        <v>92</v>
      </c>
      <c r="F79">
        <f>5*F73</f>
        <v>40000</v>
      </c>
      <c r="G79" t="s">
        <v>111</v>
      </c>
    </row>
    <row r="81" spans="1:3" ht="12.75">
      <c r="A81" t="s">
        <v>16</v>
      </c>
      <c r="B81">
        <f>ShipDV!E5</f>
        <v>43.4</v>
      </c>
      <c r="C81" t="s">
        <v>81</v>
      </c>
    </row>
    <row r="82" spans="1:2" ht="12.75">
      <c r="A82" t="s">
        <v>99</v>
      </c>
      <c r="B82">
        <v>0.2</v>
      </c>
    </row>
    <row r="83" spans="1:4" ht="12.75">
      <c r="A83" t="s">
        <v>100</v>
      </c>
      <c r="B83">
        <f>2200*B81*B82</f>
        <v>19096</v>
      </c>
      <c r="D83" t="s">
        <v>112</v>
      </c>
    </row>
    <row r="86" spans="2:6" ht="12.75">
      <c r="B86" t="s">
        <v>121</v>
      </c>
      <c r="C86" t="s">
        <v>122</v>
      </c>
      <c r="D86" t="s">
        <v>125</v>
      </c>
      <c r="E86" t="s">
        <v>123</v>
      </c>
      <c r="F86" t="s">
        <v>124</v>
      </c>
    </row>
    <row r="87" spans="1:6" ht="12.75">
      <c r="A87">
        <v>747</v>
      </c>
      <c r="B87">
        <v>200000</v>
      </c>
      <c r="C87">
        <v>4500</v>
      </c>
      <c r="D87">
        <v>24000</v>
      </c>
      <c r="E87">
        <v>7</v>
      </c>
      <c r="F87">
        <f>D87*E87</f>
        <v>168000</v>
      </c>
    </row>
    <row r="88" spans="1:7" ht="12.75">
      <c r="A88" t="s">
        <v>126</v>
      </c>
      <c r="B88">
        <v>255000</v>
      </c>
      <c r="G88" t="s">
        <v>127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2"/>
  <sheetViews>
    <sheetView workbookViewId="0" topLeftCell="A77">
      <selection activeCell="E87" sqref="E87"/>
    </sheetView>
  </sheetViews>
  <sheetFormatPr defaultColWidth="9.140625" defaultRowHeight="12.75"/>
  <cols>
    <col min="1" max="1" width="8.8515625" style="0" customWidth="1"/>
    <col min="2" max="6" width="10.7109375" style="0" customWidth="1"/>
    <col min="8" max="8" width="8.7109375" style="0" customWidth="1"/>
  </cols>
  <sheetData>
    <row r="1" spans="1:22" ht="12.75">
      <c r="A1" t="s">
        <v>25</v>
      </c>
      <c r="F1" s="1">
        <v>37803</v>
      </c>
      <c r="H1" t="s">
        <v>166</v>
      </c>
      <c r="J1" t="s">
        <v>70</v>
      </c>
      <c r="K1" t="s">
        <v>71</v>
      </c>
      <c r="L1" t="s">
        <v>72</v>
      </c>
      <c r="R1" t="s">
        <v>39</v>
      </c>
      <c r="S1" s="10">
        <v>587</v>
      </c>
      <c r="T1" t="s">
        <v>40</v>
      </c>
      <c r="U1">
        <v>500</v>
      </c>
      <c r="V1" t="s">
        <v>41</v>
      </c>
    </row>
    <row r="2" spans="2:20" ht="12.75">
      <c r="B2" t="s">
        <v>102</v>
      </c>
      <c r="J2">
        <v>500</v>
      </c>
      <c r="K2">
        <f>1.6*J2</f>
        <v>800</v>
      </c>
      <c r="L2" s="2">
        <f>-K2/3600</f>
        <v>-0.2222222222222222</v>
      </c>
      <c r="S2" s="6">
        <v>96.4</v>
      </c>
      <c r="T2" t="s">
        <v>42</v>
      </c>
    </row>
    <row r="3" spans="2:22" ht="12.75">
      <c r="B3" t="s">
        <v>353</v>
      </c>
      <c r="C3">
        <v>4.5</v>
      </c>
      <c r="D3" t="s">
        <v>26</v>
      </c>
      <c r="G3" s="17">
        <v>12</v>
      </c>
      <c r="H3" s="9" t="s">
        <v>69</v>
      </c>
      <c r="J3" t="s">
        <v>27</v>
      </c>
      <c r="L3" t="s">
        <v>28</v>
      </c>
      <c r="M3" t="s">
        <v>29</v>
      </c>
      <c r="N3" t="s">
        <v>30</v>
      </c>
      <c r="S3" s="5">
        <f>S2/60</f>
        <v>1.6066666666666667</v>
      </c>
      <c r="T3" t="s">
        <v>44</v>
      </c>
      <c r="U3" s="5">
        <f>24/S3</f>
        <v>14.937759336099585</v>
      </c>
      <c r="V3" t="s">
        <v>45</v>
      </c>
    </row>
    <row r="4" spans="1:22" ht="12.75">
      <c r="A4" t="s">
        <v>31</v>
      </c>
      <c r="B4" s="5">
        <f>C3-(B5+B6)</f>
        <v>1.8499999999999996</v>
      </c>
      <c r="C4">
        <f>B4*D4</f>
        <v>184.99999999999997</v>
      </c>
      <c r="D4">
        <v>100</v>
      </c>
      <c r="E4" t="s">
        <v>32</v>
      </c>
      <c r="G4" s="24">
        <f>D6*C4/1000</f>
        <v>3.6999999999999997</v>
      </c>
      <c r="H4" t="s">
        <v>101</v>
      </c>
      <c r="J4">
        <v>4</v>
      </c>
      <c r="K4" s="5">
        <f>J4*S$4</f>
        <v>6.856896296296297</v>
      </c>
      <c r="L4" s="7">
        <f>SUM(K$4:K4)</f>
        <v>6.856896296296297</v>
      </c>
      <c r="N4">
        <v>4</v>
      </c>
      <c r="S4" s="5">
        <f>(1+U4)*S3</f>
        <v>1.7142240740740742</v>
      </c>
      <c r="T4" t="s">
        <v>46</v>
      </c>
      <c r="U4" s="16">
        <f>S3/24</f>
        <v>0.06694444444444445</v>
      </c>
      <c r="V4" t="s">
        <v>47</v>
      </c>
    </row>
    <row r="5" spans="1:19" ht="12.75">
      <c r="A5" t="s">
        <v>33</v>
      </c>
      <c r="B5">
        <v>2.2</v>
      </c>
      <c r="J5">
        <v>4</v>
      </c>
      <c r="K5" s="5">
        <f>J5*S$4</f>
        <v>6.856896296296297</v>
      </c>
      <c r="L5" s="5">
        <f>SUM(K$4:K5)</f>
        <v>13.713792592592593</v>
      </c>
      <c r="M5" s="7">
        <f>L5-12</f>
        <v>1.7137925925925934</v>
      </c>
      <c r="N5">
        <v>4</v>
      </c>
      <c r="S5">
        <f>24/S4</f>
        <v>14.00050341316285</v>
      </c>
    </row>
    <row r="6" spans="1:19" ht="12.75">
      <c r="A6" t="s">
        <v>35</v>
      </c>
      <c r="B6" s="5">
        <v>0.45</v>
      </c>
      <c r="C6" t="s">
        <v>356</v>
      </c>
      <c r="D6" s="21">
        <v>20</v>
      </c>
      <c r="E6" s="9" t="s">
        <v>354</v>
      </c>
      <c r="J6">
        <v>4</v>
      </c>
      <c r="K6" s="5">
        <f>J6*S$4</f>
        <v>6.856896296296297</v>
      </c>
      <c r="L6" s="5">
        <f>SUM(K$4:K6)</f>
        <v>20.57068888888889</v>
      </c>
      <c r="M6" s="7">
        <f>L6-12</f>
        <v>8.570688888888888</v>
      </c>
      <c r="N6">
        <v>6</v>
      </c>
      <c r="S6" t="s">
        <v>162</v>
      </c>
    </row>
    <row r="7" spans="1:19" ht="12.75">
      <c r="A7" t="s">
        <v>36</v>
      </c>
      <c r="B7" s="5">
        <v>0.32</v>
      </c>
      <c r="C7" t="s">
        <v>37</v>
      </c>
      <c r="E7" s="5">
        <f>C3+B7</f>
        <v>4.82</v>
      </c>
      <c r="F7">
        <f>2.2*E7</f>
        <v>10.604000000000001</v>
      </c>
      <c r="G7" s="22">
        <f>G3*1000/F7</f>
        <v>1131.6484345529987</v>
      </c>
      <c r="H7" t="s">
        <v>68</v>
      </c>
      <c r="J7" s="2">
        <f>U3/(1+U4)</f>
        <v>14.00050341316285</v>
      </c>
      <c r="K7" t="s">
        <v>38</v>
      </c>
      <c r="L7" s="10">
        <f>86400/14</f>
        <v>6171.428571428572</v>
      </c>
      <c r="M7" s="10">
        <f>L7+L7</f>
        <v>12342.857142857143</v>
      </c>
      <c r="S7" t="s">
        <v>167</v>
      </c>
    </row>
    <row r="8" spans="2:19" ht="12.75">
      <c r="B8" s="14">
        <v>5</v>
      </c>
      <c r="C8" t="s">
        <v>34</v>
      </c>
      <c r="G8" s="15"/>
      <c r="N8">
        <v>2.228</v>
      </c>
      <c r="O8" t="s">
        <v>218</v>
      </c>
      <c r="S8" t="s">
        <v>168</v>
      </c>
    </row>
    <row r="9" spans="1:19" ht="12.75">
      <c r="A9" t="s">
        <v>49</v>
      </c>
      <c r="B9" s="10">
        <v>32</v>
      </c>
      <c r="C9" s="5" t="s">
        <v>75</v>
      </c>
      <c r="E9" t="s">
        <v>50</v>
      </c>
      <c r="F9" t="s">
        <v>51</v>
      </c>
      <c r="J9" t="s">
        <v>52</v>
      </c>
      <c r="L9" t="s">
        <v>204</v>
      </c>
      <c r="N9">
        <f>N8/24</f>
        <v>0.09283333333333334</v>
      </c>
      <c r="O9" t="s">
        <v>219</v>
      </c>
      <c r="S9" t="s">
        <v>163</v>
      </c>
    </row>
    <row r="10" spans="1:19" ht="12.75">
      <c r="A10" t="s">
        <v>33</v>
      </c>
      <c r="B10" t="s">
        <v>77</v>
      </c>
      <c r="C10" t="s">
        <v>76</v>
      </c>
      <c r="D10" t="s">
        <v>54</v>
      </c>
      <c r="E10" t="s">
        <v>55</v>
      </c>
      <c r="I10" t="s">
        <v>137</v>
      </c>
      <c r="J10" t="s">
        <v>56</v>
      </c>
      <c r="K10" t="s">
        <v>15</v>
      </c>
      <c r="L10" t="s">
        <v>203</v>
      </c>
      <c r="M10" t="s">
        <v>205</v>
      </c>
      <c r="N10" t="s">
        <v>231</v>
      </c>
      <c r="P10" t="s">
        <v>358</v>
      </c>
      <c r="Q10">
        <f>C11/8</f>
        <v>23.124999999999996</v>
      </c>
      <c r="R10">
        <f>20*Q10</f>
        <v>462.49999999999994</v>
      </c>
      <c r="S10" t="s">
        <v>249</v>
      </c>
    </row>
    <row r="11" spans="1:19" ht="12.75">
      <c r="A11" s="5">
        <v>0</v>
      </c>
      <c r="B11" s="5">
        <v>0.2</v>
      </c>
      <c r="C11" s="6">
        <f>C4</f>
        <v>184.99999999999997</v>
      </c>
      <c r="D11" s="6">
        <f>ROUND(J11,0)</f>
        <v>8</v>
      </c>
      <c r="E11" s="6">
        <f>B$6+B$7+B$4</f>
        <v>2.6199999999999997</v>
      </c>
      <c r="F11">
        <v>1</v>
      </c>
      <c r="I11" s="5">
        <f>E11/30</f>
        <v>0.08733333333333332</v>
      </c>
      <c r="J11" s="6">
        <f>L11*1000/M11/3600/0.63</f>
        <v>8.059322685173024</v>
      </c>
      <c r="K11" s="5">
        <f>A11+B11</f>
        <v>0.2</v>
      </c>
      <c r="L11" s="5">
        <f>VLOOKUP(K11,ShipDV!A$8:M$35,6)</f>
        <v>1.8936571428571423</v>
      </c>
      <c r="M11" s="2">
        <f>C11*V$36/(K11*1000)</f>
        <v>0.10359999999999997</v>
      </c>
      <c r="N11" s="5">
        <f>C11/8*N$9*J11*0.63</f>
        <v>10.89995689247921</v>
      </c>
      <c r="O11" s="2">
        <f>(F11+F35)*N11/1000</f>
        <v>0.06539974135487527</v>
      </c>
      <c r="P11">
        <f>1000000*K11*L11</f>
        <v>378731.42857142846</v>
      </c>
      <c r="Q11">
        <f>C11*V$36</f>
        <v>20.719999999999995</v>
      </c>
      <c r="S11" t="s">
        <v>316</v>
      </c>
    </row>
    <row r="12" spans="1:19" ht="12.75">
      <c r="A12" s="5">
        <f>$F12*A11</f>
        <v>0</v>
      </c>
      <c r="B12" s="6">
        <f>$F12*B11</f>
        <v>1.4000000000000001</v>
      </c>
      <c r="C12" s="43"/>
      <c r="D12" s="6">
        <f>$F12*D11</f>
        <v>56</v>
      </c>
      <c r="F12">
        <v>7</v>
      </c>
      <c r="S12" t="s">
        <v>343</v>
      </c>
    </row>
    <row r="13" spans="1:17" ht="12.75">
      <c r="A13" s="5">
        <v>0.1</v>
      </c>
      <c r="B13" s="5">
        <v>0.2</v>
      </c>
      <c r="C13" s="45">
        <f>C11+SUM(B11:B12)*B$9</f>
        <v>236.2</v>
      </c>
      <c r="D13" s="6">
        <f>J13</f>
        <v>9.76408835646943</v>
      </c>
      <c r="E13" s="6">
        <f>+E11+SUM(A11:B12)</f>
        <v>4.22</v>
      </c>
      <c r="F13">
        <v>1</v>
      </c>
      <c r="I13" s="5">
        <f>E13/30</f>
        <v>0.14066666666666666</v>
      </c>
      <c r="J13" s="6">
        <f>L13*1000/M13/3600/0.63</f>
        <v>9.76408835646943</v>
      </c>
      <c r="K13" s="5">
        <f>A13+B13</f>
        <v>0.30000000000000004</v>
      </c>
      <c r="L13" s="5">
        <f>VLOOKUP(K13,ShipDV!A$8:M$35,6)</f>
        <v>1.9527714285714293</v>
      </c>
      <c r="M13" s="2">
        <f>C13*V$36/(K13*1000)</f>
        <v>0.0881813333333333</v>
      </c>
      <c r="N13" s="5">
        <f>C13/8*N$9*J13*0.63</f>
        <v>16.86033118976758</v>
      </c>
      <c r="O13" s="2">
        <f>(F13+F14)*N13/1000</f>
        <v>0.13488264951814066</v>
      </c>
      <c r="P13">
        <f>1000000*K13*L13</f>
        <v>585831.4285714289</v>
      </c>
      <c r="Q13" s="5">
        <f>C13*V$36</f>
        <v>26.454399999999996</v>
      </c>
    </row>
    <row r="14" spans="1:13" ht="12.75">
      <c r="A14" s="5">
        <f>$F14*A13</f>
        <v>0.7000000000000001</v>
      </c>
      <c r="B14" s="6">
        <f>$F14*B13</f>
        <v>1.4000000000000001</v>
      </c>
      <c r="C14" s="43"/>
      <c r="D14" s="6">
        <f>$F14*D13</f>
        <v>68.348618495286</v>
      </c>
      <c r="F14">
        <v>7</v>
      </c>
      <c r="J14" s="5"/>
      <c r="K14" s="5"/>
      <c r="L14" s="5"/>
      <c r="M14" s="2"/>
    </row>
    <row r="15" spans="1:17" ht="12.75">
      <c r="A15" s="5">
        <v>0.4</v>
      </c>
      <c r="B15" s="5">
        <v>0.1</v>
      </c>
      <c r="C15" s="45">
        <f>C13+SUM(B13:B14)*B$9</f>
        <v>287.4</v>
      </c>
      <c r="D15" s="6">
        <f>J15</f>
        <v>14.047137321899559</v>
      </c>
      <c r="E15" s="6">
        <f>+E13+SUM(A13:B14)</f>
        <v>6.62</v>
      </c>
      <c r="F15">
        <v>1</v>
      </c>
      <c r="I15" s="5">
        <f>E15/30</f>
        <v>0.22066666666666668</v>
      </c>
      <c r="J15" s="6">
        <f>L15*1000/M15/3600/0.63</f>
        <v>14.047137321899559</v>
      </c>
      <c r="K15" s="5">
        <f>A15+B15</f>
        <v>0.5</v>
      </c>
      <c r="L15" s="5">
        <f>VLOOKUP(K15,ShipDV!A$8:M$35,6)</f>
        <v>2.051</v>
      </c>
      <c r="M15" s="2">
        <f>C15*V$36/(K15*1000)</f>
        <v>0.0643776</v>
      </c>
      <c r="N15" s="5">
        <f>C15/8*N$9*J15*0.63</f>
        <v>29.514069733796298</v>
      </c>
      <c r="O15" s="2">
        <f>(F15+F16)*N15/1000</f>
        <v>0.1475703486689815</v>
      </c>
      <c r="P15">
        <f>1000000*K15*L15</f>
        <v>1025500.0000000001</v>
      </c>
      <c r="Q15" s="5">
        <f>C15*V$36</f>
        <v>32.18879999999999</v>
      </c>
    </row>
    <row r="16" spans="1:13" ht="12.75">
      <c r="A16" s="5">
        <f>$F16*A15</f>
        <v>1.6</v>
      </c>
      <c r="B16" s="6">
        <f>$F16*B15</f>
        <v>0.4</v>
      </c>
      <c r="C16" s="43"/>
      <c r="D16" s="6">
        <f>$F16*D15</f>
        <v>56.188549287598235</v>
      </c>
      <c r="F16">
        <v>4</v>
      </c>
      <c r="J16" s="5"/>
      <c r="K16" s="5"/>
      <c r="L16" s="5"/>
      <c r="M16" s="2"/>
    </row>
    <row r="17" spans="1:17" ht="12.75">
      <c r="A17" s="5">
        <v>0.5</v>
      </c>
      <c r="B17" s="5">
        <v>0.1</v>
      </c>
      <c r="C17" s="45">
        <f>C15+SUM(B15:B16)*B$9</f>
        <v>303.4</v>
      </c>
      <c r="D17" s="6">
        <f>J17</f>
        <v>16.194285731368865</v>
      </c>
      <c r="E17" s="6">
        <f>+E15+SUM(A15:B16)</f>
        <v>9.120000000000001</v>
      </c>
      <c r="F17">
        <v>1</v>
      </c>
      <c r="I17" s="5">
        <f>E17/30</f>
        <v>0.30400000000000005</v>
      </c>
      <c r="J17" s="6">
        <f>L17*1000/M17/3600/0.63</f>
        <v>16.194285731368865</v>
      </c>
      <c r="K17" s="5">
        <f>A17+B17</f>
        <v>0.6</v>
      </c>
      <c r="L17" s="5">
        <f>VLOOKUP(K17,ShipDV!A$8:M$35,6)</f>
        <v>2.080114285714287</v>
      </c>
      <c r="M17" s="2">
        <f>C17*V$36/(K17*1000)</f>
        <v>0.05663466666666666</v>
      </c>
      <c r="N17" s="5">
        <f>C17/8*N$9*J17*0.63</f>
        <v>35.91963222789117</v>
      </c>
      <c r="O17" s="2">
        <f>(F17+F18)*N17/1000</f>
        <v>0.14367852891156468</v>
      </c>
      <c r="P17">
        <f>1000000*K17*L17</f>
        <v>1248068.571428572</v>
      </c>
      <c r="Q17" s="5">
        <f>C17*V$36</f>
        <v>33.980799999999995</v>
      </c>
    </row>
    <row r="18" spans="1:13" ht="12.75">
      <c r="A18" s="5">
        <f>$F18*A17</f>
        <v>1.5</v>
      </c>
      <c r="B18" s="6">
        <f>$F18*B17</f>
        <v>0.30000000000000004</v>
      </c>
      <c r="C18" s="43"/>
      <c r="D18" s="6">
        <f>$F18*D17</f>
        <v>48.582857194106595</v>
      </c>
      <c r="F18">
        <v>3</v>
      </c>
      <c r="J18" s="5"/>
      <c r="K18" s="5"/>
      <c r="L18" s="5"/>
      <c r="M18" s="2"/>
    </row>
    <row r="19" spans="1:17" ht="12.75">
      <c r="A19" s="5">
        <v>0.6</v>
      </c>
      <c r="B19" s="5">
        <v>0.1</v>
      </c>
      <c r="C19" s="45">
        <f>C17+SUM(B17:B18)*B$9</f>
        <v>316.2</v>
      </c>
      <c r="D19" s="6">
        <f>ROUND(J19/S$4+0.4,0)*S$4</f>
        <v>18.856464814814817</v>
      </c>
      <c r="E19" s="6">
        <f>+E17+SUM(A17:B18)</f>
        <v>11.520000000000001</v>
      </c>
      <c r="F19">
        <v>1</v>
      </c>
      <c r="I19" s="5">
        <f>E19/30</f>
        <v>0.38400000000000006</v>
      </c>
      <c r="J19" s="6">
        <f>L19*1000/M19/3600/0.63</f>
        <v>18.425829113007214</v>
      </c>
      <c r="K19" s="5">
        <f>A19+B19</f>
        <v>0.7</v>
      </c>
      <c r="L19" s="5">
        <f>VLOOKUP(K19,ShipDV!A$8:M$35,6)</f>
        <v>2.114228571428572</v>
      </c>
      <c r="M19" s="2">
        <f>C19*V$36/(K19*1000)</f>
        <v>0.05059199999999999</v>
      </c>
      <c r="N19" s="5">
        <f>C19/8*N$9*J19*0.63</f>
        <v>42.59350818452382</v>
      </c>
      <c r="O19" s="2">
        <f>(F19+F20)*N19/1000</f>
        <v>0.1703740327380953</v>
      </c>
      <c r="P19">
        <f>1000000*K19*L19</f>
        <v>1479960.0000000002</v>
      </c>
      <c r="Q19" s="5">
        <f>C19*V$36</f>
        <v>35.41439999999999</v>
      </c>
    </row>
    <row r="20" spans="1:13" ht="12.75">
      <c r="A20" s="5">
        <f>$F20*A19</f>
        <v>1.7999999999999998</v>
      </c>
      <c r="B20" s="6">
        <f>$F20*B19</f>
        <v>0.30000000000000004</v>
      </c>
      <c r="C20" s="43"/>
      <c r="D20" s="6">
        <f>$F20*D19</f>
        <v>56.569394444444455</v>
      </c>
      <c r="F20">
        <v>3</v>
      </c>
      <c r="J20" s="5"/>
      <c r="K20" s="5"/>
      <c r="L20" s="5"/>
      <c r="M20" s="2"/>
    </row>
    <row r="21" spans="1:17" ht="12.75">
      <c r="A21" s="5">
        <v>0.7</v>
      </c>
      <c r="B21" s="5">
        <v>0.1</v>
      </c>
      <c r="C21" s="45">
        <f>C19+SUM(B19:B20)*B$9</f>
        <v>329</v>
      </c>
      <c r="D21" s="6">
        <f>ROUND(J21/S$4+0.4,0)*S$4</f>
        <v>20.57068888888889</v>
      </c>
      <c r="E21" s="6">
        <f>+E19+SUM(A19:B20)</f>
        <v>14.32</v>
      </c>
      <c r="F21">
        <v>1</v>
      </c>
      <c r="I21" s="5">
        <f>E21/30</f>
        <v>0.47733333333333333</v>
      </c>
      <c r="J21" s="6">
        <f>L21*1000/M21/3600/0.63</f>
        <v>20.238809085654815</v>
      </c>
      <c r="K21" s="5">
        <f>A21+B21</f>
        <v>0.7999999999999999</v>
      </c>
      <c r="L21" s="5">
        <f>VLOOKUP(K21,ShipDV!A$8:M$35,6)</f>
        <v>2.114228571428572</v>
      </c>
      <c r="M21" s="2">
        <f>C21*V$36/(K21*1000)</f>
        <v>0.046060000000000004</v>
      </c>
      <c r="N21" s="5">
        <f>C21/8*N$9*J21*0.63</f>
        <v>48.67829506802721</v>
      </c>
      <c r="O21" s="2">
        <f>(F21+F22)*N21/1000</f>
        <v>0.2920697704081633</v>
      </c>
      <c r="P21">
        <f>1000000*K21*L21</f>
        <v>1691382.8571428573</v>
      </c>
      <c r="Q21" s="5">
        <f>C21*V$36</f>
        <v>36.848</v>
      </c>
    </row>
    <row r="22" spans="1:13" ht="12.75">
      <c r="A22" s="5">
        <f>$F22*A21</f>
        <v>3.5</v>
      </c>
      <c r="B22" s="6">
        <f>$F22*B21</f>
        <v>0.5</v>
      </c>
      <c r="C22" s="43"/>
      <c r="D22" s="6">
        <f>$F22*D21</f>
        <v>102.85344444444445</v>
      </c>
      <c r="F22">
        <v>5</v>
      </c>
      <c r="J22" s="5"/>
      <c r="K22" s="5"/>
      <c r="L22" s="5"/>
      <c r="M22" s="2"/>
    </row>
    <row r="23" spans="1:17" ht="12.75">
      <c r="A23" s="5">
        <v>0.7</v>
      </c>
      <c r="B23" s="5">
        <v>0.1</v>
      </c>
      <c r="C23" s="45">
        <f>C21+SUM(B21:B22)*B$9</f>
        <v>348.2</v>
      </c>
      <c r="D23" s="6">
        <f>J23</f>
        <v>19.122826505400447</v>
      </c>
      <c r="E23" s="6">
        <f>+E21+SUM(A21:B22)</f>
        <v>19.12</v>
      </c>
      <c r="F23">
        <v>1</v>
      </c>
      <c r="I23" s="5">
        <f>E23/30</f>
        <v>0.6373333333333334</v>
      </c>
      <c r="J23" s="6">
        <f>L23*1000/M23/3600/0.63</f>
        <v>19.122826505400447</v>
      </c>
      <c r="K23" s="5">
        <f>A23+B23</f>
        <v>0.7999999999999999</v>
      </c>
      <c r="L23" s="5">
        <f>VLOOKUP(K23,ShipDV!A$8:M$35,6)</f>
        <v>2.114228571428572</v>
      </c>
      <c r="M23" s="2">
        <f>C23*V$36/(K23*1000)</f>
        <v>0.048748</v>
      </c>
      <c r="N23" s="5">
        <f>C23/8*N$9*J23*0.63</f>
        <v>48.678295068027225</v>
      </c>
      <c r="O23" s="2">
        <f>(F23+F24)*N23/1000</f>
        <v>0.048678295068027226</v>
      </c>
      <c r="P23">
        <f>1000000*K23*L23</f>
        <v>1691382.8571428573</v>
      </c>
      <c r="Q23" s="5">
        <f>C23*V$36</f>
        <v>38.9984</v>
      </c>
    </row>
    <row r="24" spans="1:13" ht="12.75">
      <c r="A24" s="5"/>
      <c r="B24" s="5"/>
      <c r="C24" s="43"/>
      <c r="D24" s="5"/>
      <c r="F24" s="5"/>
      <c r="J24" s="5"/>
      <c r="K24" s="5"/>
      <c r="L24" s="5"/>
      <c r="M24" s="2"/>
    </row>
    <row r="25" spans="1:15" ht="12.75">
      <c r="A25" s="5">
        <f>SUM(A11:A23)</f>
        <v>12.1</v>
      </c>
      <c r="B25" s="5"/>
      <c r="C25" s="6"/>
      <c r="D25" s="5">
        <f>SUM(D11:D23)</f>
        <v>495.09835548472176</v>
      </c>
      <c r="E25" s="6"/>
      <c r="F25" s="10">
        <f>SUM(F11:F23)</f>
        <v>36</v>
      </c>
      <c r="G25" t="s">
        <v>58</v>
      </c>
      <c r="I25" s="5"/>
      <c r="J25" s="6"/>
      <c r="K25" s="5"/>
      <c r="L25" s="5"/>
      <c r="M25" s="2"/>
      <c r="N25" s="5"/>
      <c r="O25" s="2"/>
    </row>
    <row r="26" spans="1:15" ht="12.75">
      <c r="A26" s="5"/>
      <c r="B26" s="5"/>
      <c r="C26" s="6" t="s">
        <v>355</v>
      </c>
      <c r="D26" s="6">
        <f>D25/24</f>
        <v>20.62909814519674</v>
      </c>
      <c r="E26" s="6"/>
      <c r="I26" s="5"/>
      <c r="J26" s="6"/>
      <c r="K26" s="5"/>
      <c r="L26" s="5"/>
      <c r="M26" s="2"/>
      <c r="N26" s="5"/>
      <c r="O26" s="2"/>
    </row>
    <row r="27" spans="1:15" ht="12.75">
      <c r="A27" s="5"/>
      <c r="B27" s="5"/>
      <c r="C27" s="6"/>
      <c r="D27" t="s">
        <v>33</v>
      </c>
      <c r="E27">
        <v>11.77</v>
      </c>
      <c r="F27" t="s">
        <v>357</v>
      </c>
      <c r="I27" s="5"/>
      <c r="J27" s="6"/>
      <c r="K27" s="5"/>
      <c r="L27" s="5"/>
      <c r="M27" s="2"/>
      <c r="N27" s="5"/>
      <c r="O27" s="2"/>
    </row>
    <row r="28" spans="1:17" ht="12.75">
      <c r="A28" t="s">
        <v>49</v>
      </c>
      <c r="B28" s="5"/>
      <c r="C28" s="5"/>
      <c r="E28" t="s">
        <v>50</v>
      </c>
      <c r="F28" t="s">
        <v>51</v>
      </c>
      <c r="J28" t="s">
        <v>52</v>
      </c>
      <c r="L28" t="s">
        <v>204</v>
      </c>
      <c r="N28" s="5"/>
      <c r="O28" s="5"/>
      <c r="Q28" t="s">
        <v>359</v>
      </c>
    </row>
    <row r="29" spans="1:17" ht="12.75">
      <c r="A29" t="s">
        <v>33</v>
      </c>
      <c r="B29" t="s">
        <v>77</v>
      </c>
      <c r="C29" t="s">
        <v>76</v>
      </c>
      <c r="D29" t="s">
        <v>54</v>
      </c>
      <c r="E29" t="s">
        <v>55</v>
      </c>
      <c r="I29" t="s">
        <v>137</v>
      </c>
      <c r="J29" t="s">
        <v>56</v>
      </c>
      <c r="K29" t="s">
        <v>15</v>
      </c>
      <c r="L29" t="s">
        <v>203</v>
      </c>
      <c r="M29" t="s">
        <v>205</v>
      </c>
      <c r="N29" t="s">
        <v>231</v>
      </c>
      <c r="P29" t="s">
        <v>358</v>
      </c>
      <c r="Q29" t="s">
        <v>209</v>
      </c>
    </row>
    <row r="30" spans="1:17" ht="12.75">
      <c r="A30" s="5">
        <v>0</v>
      </c>
      <c r="B30" s="5">
        <v>0.5</v>
      </c>
      <c r="C30" s="6">
        <f>C23</f>
        <v>348.2</v>
      </c>
      <c r="D30" s="6">
        <f>ROUND(J30,0)</f>
        <v>12</v>
      </c>
      <c r="E30" s="6">
        <f>E23-E27+B5</f>
        <v>9.55</v>
      </c>
      <c r="F30">
        <v>1</v>
      </c>
      <c r="I30" s="5">
        <f>E30/30</f>
        <v>0.31833333333333336</v>
      </c>
      <c r="J30" s="6">
        <f>L30*1000/M30/3600/0.63</f>
        <v>11.59433448108539</v>
      </c>
      <c r="K30" s="5">
        <f>A30+B30</f>
        <v>0.5</v>
      </c>
      <c r="L30" s="5">
        <f>VLOOKUP(K30,ShipDV!A$8:M$35,6)</f>
        <v>2.051</v>
      </c>
      <c r="M30" s="2">
        <f>C30*V$36/(K30*1000)</f>
        <v>0.07799679999999999</v>
      </c>
      <c r="N30" s="5">
        <f>C30/8*N$9*J30*0.63</f>
        <v>29.514069733796298</v>
      </c>
      <c r="O30" s="2">
        <f>(F30+F54)*N30/1000</f>
        <v>0.0295140697337963</v>
      </c>
      <c r="P30">
        <f>1000000*K30*L30</f>
        <v>1025500.0000000001</v>
      </c>
      <c r="Q30">
        <f>C30*V$36</f>
        <v>38.9984</v>
      </c>
    </row>
    <row r="31" spans="1:6" ht="12.75">
      <c r="A31" s="5">
        <f>$F31*A30</f>
        <v>0</v>
      </c>
      <c r="B31" s="6">
        <f>$F31*B30</f>
        <v>2</v>
      </c>
      <c r="C31" s="43"/>
      <c r="D31" s="6">
        <f>$F31*D30</f>
        <v>48</v>
      </c>
      <c r="F31">
        <v>4</v>
      </c>
    </row>
    <row r="32" spans="1:15" ht="12.75">
      <c r="A32" s="5">
        <v>0.15</v>
      </c>
      <c r="B32" s="5">
        <v>0.5</v>
      </c>
      <c r="C32" s="45">
        <f>C30+SUM(B30:B31)*B$9</f>
        <v>428.2</v>
      </c>
      <c r="D32" s="6">
        <f>J32</f>
        <v>12.43062077332732</v>
      </c>
      <c r="E32" s="6">
        <f>E30+SUM(A30:B31)</f>
        <v>12.05</v>
      </c>
      <c r="F32">
        <v>1</v>
      </c>
      <c r="I32" s="5">
        <f>E32/30</f>
        <v>0.40166666666666667</v>
      </c>
      <c r="J32" s="6">
        <f>L32*1000/M32/3600/0.63</f>
        <v>12.43062077332732</v>
      </c>
      <c r="K32" s="5">
        <f>A32+B32</f>
        <v>0.65</v>
      </c>
      <c r="L32" s="5">
        <f>VLOOKUP(K32,ShipDV!A$8:M$35,6)</f>
        <v>2.080114285714287</v>
      </c>
      <c r="M32" s="2">
        <f>C32*V$36/(K32*1000)</f>
        <v>0.07378215384615383</v>
      </c>
      <c r="N32" s="5">
        <f>C32/8*N$9*J32*0.63</f>
        <v>38.91293491354879</v>
      </c>
      <c r="O32" s="2">
        <f>(F32+F33)*N32/1000</f>
        <v>0.19456467456774393</v>
      </c>
    </row>
    <row r="33" spans="1:19" ht="12.75">
      <c r="A33" s="5">
        <f>$F33*A32</f>
        <v>0.6</v>
      </c>
      <c r="B33" s="6">
        <f>$F33*B32</f>
        <v>2</v>
      </c>
      <c r="C33" s="43"/>
      <c r="D33" s="6">
        <f>$F33*D32</f>
        <v>49.72248309330928</v>
      </c>
      <c r="F33">
        <v>4</v>
      </c>
      <c r="I33" s="5">
        <f>(I32+I34)/2</f>
        <v>0.4558333333333333</v>
      </c>
      <c r="J33" s="5"/>
      <c r="K33" s="5"/>
      <c r="L33" s="5"/>
      <c r="M33" s="2"/>
      <c r="S33" t="s">
        <v>344</v>
      </c>
    </row>
    <row r="34" spans="1:22" ht="12.75">
      <c r="A34" s="5">
        <v>0</v>
      </c>
      <c r="B34" s="5">
        <v>0.75</v>
      </c>
      <c r="C34" s="45">
        <f>C32+SUM(B32:B33)*B$9</f>
        <v>508.2</v>
      </c>
      <c r="D34" s="6">
        <f>J34</f>
        <v>12.283368117584924</v>
      </c>
      <c r="E34" s="6">
        <f>E32+SUM(A32:B33)</f>
        <v>15.3</v>
      </c>
      <c r="F34">
        <v>1</v>
      </c>
      <c r="I34" s="5">
        <f>E34/30</f>
        <v>0.51</v>
      </c>
      <c r="J34" s="6">
        <f>L34*1000/M34/3600/0.63</f>
        <v>12.283368117584924</v>
      </c>
      <c r="K34" s="5">
        <f>A34+B34</f>
        <v>0.75</v>
      </c>
      <c r="L34" s="5">
        <f>VLOOKUP(K34,ShipDV!A$8:M$35,6)</f>
        <v>2.114228571428572</v>
      </c>
      <c r="M34" s="2">
        <f>C34*V$36/(K34*1000)</f>
        <v>0.07589119999999999</v>
      </c>
      <c r="N34" s="5">
        <f>C34/8*N$9*J34*0.63</f>
        <v>45.63590162627552</v>
      </c>
      <c r="O34" s="2">
        <f>(F34+F39)*N34/1000</f>
        <v>0.2738154097576531</v>
      </c>
      <c r="U34" t="s">
        <v>340</v>
      </c>
      <c r="V34">
        <f>0.512/8</f>
        <v>0.064</v>
      </c>
    </row>
    <row r="35" spans="1:23" ht="12.75">
      <c r="A35" s="6">
        <f>$F35*A11</f>
        <v>0</v>
      </c>
      <c r="B35" s="6">
        <f>$F35*B34</f>
        <v>3.75</v>
      </c>
      <c r="C35" s="43"/>
      <c r="D35" s="6">
        <f>$F35*D11</f>
        <v>40</v>
      </c>
      <c r="F35">
        <v>5</v>
      </c>
      <c r="I35" s="5">
        <f>(I11+I36)/2</f>
        <v>0.3736666666666667</v>
      </c>
      <c r="M35" s="2"/>
      <c r="P35">
        <v>1000000</v>
      </c>
      <c r="Q35">
        <f>24*60*60</f>
        <v>86400</v>
      </c>
      <c r="R35" s="2">
        <f>P35/Q35</f>
        <v>11.574074074074074</v>
      </c>
      <c r="S35" t="s">
        <v>319</v>
      </c>
      <c r="T35" t="s">
        <v>317</v>
      </c>
      <c r="U35" t="s">
        <v>318</v>
      </c>
      <c r="V35" t="s">
        <v>320</v>
      </c>
      <c r="W35" t="s">
        <v>341</v>
      </c>
    </row>
    <row r="36" spans="1:23" ht="12.75">
      <c r="A36" s="5">
        <v>0</v>
      </c>
      <c r="B36" s="5">
        <v>0.75</v>
      </c>
      <c r="C36" s="45">
        <f>C34+SUM(B34:B35)*B$9</f>
        <v>652.2</v>
      </c>
      <c r="D36" s="6">
        <f>J36</f>
        <v>9.571308919590093</v>
      </c>
      <c r="E36" s="6">
        <f>E34+SUM(A34:B35)</f>
        <v>19.8</v>
      </c>
      <c r="F36">
        <v>1</v>
      </c>
      <c r="I36" s="5">
        <f>E36/30</f>
        <v>0.66</v>
      </c>
      <c r="J36" s="6">
        <f>L36*1000/M36/3600/0.63</f>
        <v>9.571308919590093</v>
      </c>
      <c r="K36" s="5">
        <f>A36+B36</f>
        <v>0.75</v>
      </c>
      <c r="L36" s="5">
        <f>VLOOKUP(K36,ShipDV!A$8:M$35,6)</f>
        <v>2.114228571428572</v>
      </c>
      <c r="M36" s="2">
        <f>C36*V$36/(K36*1000)</f>
        <v>0.09739519999999999</v>
      </c>
      <c r="N36" s="5">
        <f>C36/8*N$9*J36*0.63</f>
        <v>45.635901626275526</v>
      </c>
      <c r="O36" s="2">
        <f>(F36+F37)*N36/1000</f>
        <v>0.3650872130102042</v>
      </c>
      <c r="S36">
        <v>10</v>
      </c>
      <c r="T36" s="2">
        <v>1.4</v>
      </c>
      <c r="U36">
        <f>T36/S36</f>
        <v>0.13999999999999999</v>
      </c>
      <c r="V36" s="38">
        <f>0.8*U36</f>
        <v>0.11199999999999999</v>
      </c>
      <c r="W36" s="2">
        <f>0.85*U36</f>
        <v>0.11899999999999998</v>
      </c>
    </row>
    <row r="37" spans="1:23" ht="12.75">
      <c r="A37" s="5">
        <f>$F37*A36</f>
        <v>0</v>
      </c>
      <c r="B37" s="6">
        <f>$F37*B36</f>
        <v>5.25</v>
      </c>
      <c r="C37" s="43"/>
      <c r="D37" s="6">
        <f>$F37*D36</f>
        <v>66.99916243713065</v>
      </c>
      <c r="F37">
        <v>7</v>
      </c>
      <c r="I37" s="5">
        <f>(I36+I38)/2</f>
        <v>0.76</v>
      </c>
      <c r="J37" s="5"/>
      <c r="K37" s="5"/>
      <c r="L37" s="5"/>
      <c r="M37" s="2"/>
      <c r="S37" t="s">
        <v>250</v>
      </c>
      <c r="U37" s="29">
        <v>0.069</v>
      </c>
      <c r="V37" s="2">
        <f>0.8*U37</f>
        <v>0.055200000000000006</v>
      </c>
      <c r="W37" s="2">
        <f>0.85*U37</f>
        <v>0.05865</v>
      </c>
    </row>
    <row r="38" spans="1:22" ht="12.75">
      <c r="A38" s="5">
        <v>0.25</v>
      </c>
      <c r="B38" s="5">
        <v>0.75</v>
      </c>
      <c r="C38" s="45">
        <f>C36+SUM(B36:B37)*B$9</f>
        <v>844.2</v>
      </c>
      <c r="D38" s="6">
        <f>ROUND(J38/S$4+0.4,0)*S$4</f>
        <v>10.285344444444444</v>
      </c>
      <c r="E38" s="6">
        <f>E36+SUM(A36:B37)</f>
        <v>25.8</v>
      </c>
      <c r="F38">
        <v>1</v>
      </c>
      <c r="H38" s="5">
        <f>N38</f>
        <v>63.93721507700305</v>
      </c>
      <c r="I38" s="5">
        <f>E38/30</f>
        <v>0.86</v>
      </c>
      <c r="J38" s="6">
        <f>L38*1000/M38/3600/0.63</f>
        <v>10.359859382683394</v>
      </c>
      <c r="K38" s="5">
        <f>A38+B38</f>
        <v>1</v>
      </c>
      <c r="L38" s="5">
        <f>VLOOKUP(K38,ShipDV!A$8:M$35,6)</f>
        <v>2.221571428571429</v>
      </c>
      <c r="M38" s="2">
        <f>C38*V$36/(K38*1000)</f>
        <v>0.09455039999999999</v>
      </c>
      <c r="N38" s="5">
        <f>C38/8*N$9*J38*0.63</f>
        <v>63.93721507700305</v>
      </c>
      <c r="O38" s="2">
        <f>(F38+F39)*N38/1000</f>
        <v>0.3836232904620183</v>
      </c>
      <c r="T38">
        <v>0.03617</v>
      </c>
      <c r="U38">
        <f>U37/U36</f>
        <v>0.49285714285714294</v>
      </c>
      <c r="V38" t="s">
        <v>332</v>
      </c>
    </row>
    <row r="39" spans="1:13" ht="12.75">
      <c r="A39" s="5">
        <f>$F39*A38</f>
        <v>1.25</v>
      </c>
      <c r="B39" s="6">
        <f>$F39*B38</f>
        <v>3.75</v>
      </c>
      <c r="C39" s="57"/>
      <c r="D39" s="6">
        <f>$F39*D38</f>
        <v>51.426722222222224</v>
      </c>
      <c r="E39" s="15"/>
      <c r="F39">
        <v>5</v>
      </c>
      <c r="I39" s="5">
        <f>(I38+I40)/2</f>
        <v>0.96</v>
      </c>
      <c r="J39" s="5"/>
      <c r="K39" s="5"/>
      <c r="L39" s="5"/>
      <c r="M39" s="2"/>
    </row>
    <row r="40" spans="1:15" ht="12.75">
      <c r="A40" s="5">
        <v>0.6</v>
      </c>
      <c r="B40" s="5">
        <v>0.5</v>
      </c>
      <c r="C40" s="45">
        <f>C38+SUM(B38:B39)*B$9</f>
        <v>988.2</v>
      </c>
      <c r="D40" s="6">
        <f>J40</f>
        <v>9.840920854056119</v>
      </c>
      <c r="E40" s="6">
        <f>E38+SUM(A38:B39)</f>
        <v>31.8</v>
      </c>
      <c r="F40">
        <v>1</v>
      </c>
      <c r="H40" s="5">
        <f>N40</f>
        <v>71.09435129086356</v>
      </c>
      <c r="I40" s="5">
        <f>E40/30</f>
        <v>1.06</v>
      </c>
      <c r="J40" s="6">
        <f>L40*1000/M40/3600/0.63</f>
        <v>9.840920854056119</v>
      </c>
      <c r="K40" s="5">
        <f>A40+B40</f>
        <v>1.1</v>
      </c>
      <c r="L40" s="5">
        <f>VLOOKUP(K40,ShipDV!A$8:M$35,6)</f>
        <v>2.245685714285714</v>
      </c>
      <c r="M40" s="2">
        <f>C40*V$36/(K40*1000)</f>
        <v>0.10061672727272727</v>
      </c>
      <c r="N40" s="5">
        <f>C40/8*N$9*J40*0.63</f>
        <v>71.09435129086356</v>
      </c>
      <c r="O40" s="2">
        <f>(F40+F41)*N40/1000</f>
        <v>0.42656610774518133</v>
      </c>
    </row>
    <row r="41" spans="1:13" ht="12.75">
      <c r="A41" s="5">
        <f>$F41*A40</f>
        <v>3</v>
      </c>
      <c r="B41" s="6">
        <f>$F41*B40</f>
        <v>2.5</v>
      </c>
      <c r="C41" s="57"/>
      <c r="D41" s="6">
        <f>$F41*D40</f>
        <v>49.2046042702806</v>
      </c>
      <c r="E41" s="15"/>
      <c r="F41">
        <v>5</v>
      </c>
      <c r="I41" s="5">
        <f>(I40+I42)/2</f>
        <v>1.17</v>
      </c>
      <c r="J41" s="5"/>
      <c r="K41" s="5"/>
      <c r="L41" s="5"/>
      <c r="M41" s="2"/>
    </row>
    <row r="42" spans="1:15" ht="12.75">
      <c r="A42" s="5">
        <v>0.8</v>
      </c>
      <c r="B42" s="5">
        <v>0.5</v>
      </c>
      <c r="C42" s="45">
        <f>C40+SUM(B40:B41)*B$9</f>
        <v>1084.2</v>
      </c>
      <c r="D42" s="6">
        <f>J42</f>
        <v>10.94605365270466</v>
      </c>
      <c r="E42" s="6">
        <f>E40+SUM(A40:B41)</f>
        <v>38.4</v>
      </c>
      <c r="F42">
        <v>1</v>
      </c>
      <c r="I42" s="5">
        <f>E42/30</f>
        <v>1.28</v>
      </c>
      <c r="J42" s="6">
        <f>L42*1000/M42/3600/0.63</f>
        <v>10.94605365270466</v>
      </c>
      <c r="K42" s="5">
        <f>A42+B42</f>
        <v>1.3</v>
      </c>
      <c r="L42" s="5">
        <f>VLOOKUP(K42,ShipDV!A$8:M$35,6)</f>
        <v>2.3189142857142855</v>
      </c>
      <c r="M42" s="2">
        <f>C42*V$36/(K42*1000)</f>
        <v>0.09340799999999999</v>
      </c>
      <c r="N42" s="5">
        <f>C42/8*N$9*J42*0.63</f>
        <v>86.76038743622449</v>
      </c>
      <c r="O42" s="2">
        <f>(F42+F43)*N42/1000</f>
        <v>0.520562324617347</v>
      </c>
    </row>
    <row r="43" spans="1:13" ht="12.75">
      <c r="A43" s="6">
        <f>$F43*A42</f>
        <v>4</v>
      </c>
      <c r="B43" s="6">
        <f>$F43*B42</f>
        <v>2.5</v>
      </c>
      <c r="C43" s="56"/>
      <c r="D43" s="6">
        <f>$F43*D42</f>
        <v>54.7302682635233</v>
      </c>
      <c r="E43" s="15"/>
      <c r="F43">
        <v>5</v>
      </c>
      <c r="I43" s="5">
        <f>(I42+I44)/2</f>
        <v>1.41</v>
      </c>
      <c r="J43" s="15"/>
      <c r="K43" s="15"/>
      <c r="L43" s="15"/>
      <c r="M43" s="15"/>
    </row>
    <row r="44" spans="1:15" ht="12.75">
      <c r="A44" s="5">
        <v>0.85</v>
      </c>
      <c r="B44" s="5">
        <v>0.75</v>
      </c>
      <c r="C44" s="6">
        <f>C42+SUM(B42:B43)*B$9</f>
        <v>1180.2</v>
      </c>
      <c r="D44" s="6">
        <f>J44</f>
        <v>12.869060026984375</v>
      </c>
      <c r="E44" s="6">
        <f>E42+SUM(A42:B43)</f>
        <v>46.199999999999996</v>
      </c>
      <c r="F44">
        <v>1</v>
      </c>
      <c r="G44" s="15"/>
      <c r="I44" s="5">
        <f>E44/30</f>
        <v>1.5399999999999998</v>
      </c>
      <c r="J44" s="6">
        <f>L44*1000/M44/3600/0.63</f>
        <v>12.869060026984375</v>
      </c>
      <c r="K44" s="5">
        <f>A44+B44</f>
        <v>1.6</v>
      </c>
      <c r="L44" s="5">
        <f>VLOOKUP(K44,ShipDV!A$8:M$35,6)</f>
        <v>2.411257142857143</v>
      </c>
      <c r="M44" s="2">
        <f>C44*V$36/(K44*1000)</f>
        <v>0.082614</v>
      </c>
      <c r="N44" s="5">
        <f>C44/8*N$9*J44*0.63</f>
        <v>111.03424508692368</v>
      </c>
      <c r="O44" s="2">
        <f>(F44+F45)*N44/1000</f>
        <v>0.7772397156084657</v>
      </c>
    </row>
    <row r="45" spans="1:15" ht="12.75">
      <c r="A45" s="6">
        <f>$F45*A44</f>
        <v>5.1</v>
      </c>
      <c r="B45" s="6">
        <f>$F45*B44</f>
        <v>4.5</v>
      </c>
      <c r="C45" s="15"/>
      <c r="D45" s="6">
        <f>$F45*D44</f>
        <v>77.21436016190626</v>
      </c>
      <c r="E45" s="15"/>
      <c r="F45">
        <v>6</v>
      </c>
      <c r="G45" s="15"/>
      <c r="I45" s="5">
        <f>(I44+I46)/2</f>
        <v>1.7266666666666666</v>
      </c>
      <c r="J45" s="15"/>
      <c r="K45" s="15"/>
      <c r="L45" s="15"/>
      <c r="M45" s="15"/>
      <c r="O45" s="5"/>
    </row>
    <row r="46" spans="1:15" ht="12.75">
      <c r="A46" s="5">
        <v>0.91</v>
      </c>
      <c r="B46" s="5">
        <v>1</v>
      </c>
      <c r="C46" s="6">
        <f>C44+SUM(B44:B45)*B$9</f>
        <v>1348.2</v>
      </c>
      <c r="D46" s="6">
        <f>ROUND(J46/S$4+0.4,0)*S$4</f>
        <v>13.713792592592593</v>
      </c>
      <c r="E46" s="6">
        <f>E44+SUM(A44:B45)</f>
        <v>57.39999999999999</v>
      </c>
      <c r="F46">
        <v>1</v>
      </c>
      <c r="G46" s="15"/>
      <c r="I46" s="5">
        <f>E46/30</f>
        <v>1.913333333333333</v>
      </c>
      <c r="J46" s="6">
        <f>L46*1000/M46/3600/0.63</f>
        <v>13.772871314345107</v>
      </c>
      <c r="K46" s="5">
        <f>A46+B46</f>
        <v>1.9100000000000001</v>
      </c>
      <c r="L46" s="5">
        <f>VLOOKUP(K46,ShipDV!A$8:M$35,6)</f>
        <v>2.469485714285714</v>
      </c>
      <c r="M46" s="2">
        <f>C46*V$36/(K46*1000)</f>
        <v>0.07905675392670157</v>
      </c>
      <c r="N46" s="5">
        <f>C46/8*N$9*J46*0.63</f>
        <v>135.7479624905518</v>
      </c>
      <c r="O46" s="2">
        <f>(F46+F47)*N46/1000</f>
        <v>0.8144877749433108</v>
      </c>
    </row>
    <row r="47" spans="1:15" ht="12.75">
      <c r="A47" s="6">
        <f>$F47*A46</f>
        <v>4.55</v>
      </c>
      <c r="B47" s="6">
        <f>$F47*B46</f>
        <v>5</v>
      </c>
      <c r="C47" s="15"/>
      <c r="D47" s="6">
        <f>$F47*D46</f>
        <v>68.56896296296297</v>
      </c>
      <c r="E47" s="15"/>
      <c r="F47">
        <v>5</v>
      </c>
      <c r="G47" s="15" t="s">
        <v>134</v>
      </c>
      <c r="I47" s="5">
        <f>(I46+I48)/2</f>
        <v>2.104333333333333</v>
      </c>
      <c r="J47" s="5"/>
      <c r="K47" s="5"/>
      <c r="L47" s="5"/>
      <c r="M47" s="5"/>
      <c r="O47" s="5"/>
    </row>
    <row r="48" spans="1:15" ht="12.75">
      <c r="A48" s="5">
        <v>1.25</v>
      </c>
      <c r="B48" s="5">
        <v>0.75</v>
      </c>
      <c r="C48" s="6">
        <f>C46+SUM(B46:B47)*B$9</f>
        <v>1540.2</v>
      </c>
      <c r="D48" s="6">
        <f>J48</f>
        <v>12.92170394910829</v>
      </c>
      <c r="E48" s="6">
        <f>E46+SUM(A46:B47)</f>
        <v>68.85999999999999</v>
      </c>
      <c r="F48">
        <v>1</v>
      </c>
      <c r="G48" s="15"/>
      <c r="I48" s="5">
        <f>E48/30</f>
        <v>2.295333333333333</v>
      </c>
      <c r="J48" s="6">
        <f>L48*1000/M48/3600/0.63</f>
        <v>12.92170394910829</v>
      </c>
      <c r="K48" s="5">
        <f>A48+B48</f>
        <v>2</v>
      </c>
      <c r="L48" s="5">
        <f>VLOOKUP(K48,ShipDV!A$8:M$35,6)</f>
        <v>2.5277142857142856</v>
      </c>
      <c r="M48" s="2">
        <f>C48*V$36/(K48*1000)</f>
        <v>0.0862512</v>
      </c>
      <c r="N48" s="5">
        <f>C48/8*N$9*J48*0.63</f>
        <v>145.49612032312928</v>
      </c>
      <c r="O48" s="2">
        <f>(F48+F49)*N48/1000</f>
        <v>0.7274806016156464</v>
      </c>
    </row>
    <row r="49" spans="1:13" ht="12.75">
      <c r="A49" s="6">
        <f>$F49*A48</f>
        <v>5</v>
      </c>
      <c r="B49" s="6">
        <f>$F49*B48</f>
        <v>3</v>
      </c>
      <c r="C49" s="15"/>
      <c r="D49" s="6">
        <f>$F49*D48</f>
        <v>51.68681579643316</v>
      </c>
      <c r="E49" s="15"/>
      <c r="F49">
        <v>4</v>
      </c>
      <c r="G49" s="15" t="s">
        <v>134</v>
      </c>
      <c r="J49" s="5"/>
      <c r="K49" s="5"/>
      <c r="L49" s="5"/>
      <c r="M49" s="5"/>
    </row>
    <row r="50" spans="1:15" ht="12.75">
      <c r="A50" s="5">
        <v>1.25</v>
      </c>
      <c r="B50" s="5">
        <v>0.75</v>
      </c>
      <c r="C50" s="6">
        <f>C48+SUM(B48:B49)*B$9</f>
        <v>1660.2</v>
      </c>
      <c r="D50" s="6">
        <f>ROUND(J50/S$4+0.4,0)*S$4</f>
        <v>11.999568518518519</v>
      </c>
      <c r="E50" s="6">
        <f>E48+SUM(A48:B49)</f>
        <v>78.85999999999999</v>
      </c>
      <c r="F50">
        <v>1</v>
      </c>
      <c r="G50" s="15"/>
      <c r="I50" s="5">
        <f>E50/30</f>
        <v>2.6286666666666663</v>
      </c>
      <c r="J50" s="6">
        <f>L50*1000/M50/3600/0.63</f>
        <v>11.987717396950119</v>
      </c>
      <c r="K50" s="5">
        <f>A50+B50</f>
        <v>2</v>
      </c>
      <c r="L50" s="5">
        <f>VLOOKUP(K50,ShipDV!A$8:M$35,6)</f>
        <v>2.5277142857142856</v>
      </c>
      <c r="M50" s="2">
        <f>C50*V$36/(K50*1000)</f>
        <v>0.09297119999999999</v>
      </c>
      <c r="N50" s="5">
        <f>C50/8*N$9*J50*0.63</f>
        <v>145.49612032312928</v>
      </c>
      <c r="O50" s="2">
        <f>(F50+F51)*N50/1000</f>
        <v>4.364883609693878</v>
      </c>
    </row>
    <row r="51" spans="1:15" ht="12.75">
      <c r="A51" s="6">
        <f>$F51*A50</f>
        <v>36.25</v>
      </c>
      <c r="B51" s="6">
        <f>$F51*B50</f>
        <v>21.75</v>
      </c>
      <c r="C51" s="15"/>
      <c r="D51" s="6">
        <f>$F51*D50</f>
        <v>347.98748703703706</v>
      </c>
      <c r="E51" s="15"/>
      <c r="F51">
        <f>15+7+7</f>
        <v>29</v>
      </c>
      <c r="G51" s="15" t="s">
        <v>134</v>
      </c>
      <c r="J51" s="5"/>
      <c r="K51" s="5"/>
      <c r="L51" s="5"/>
      <c r="M51" s="5"/>
      <c r="O51" s="5"/>
    </row>
    <row r="52" spans="1:15" ht="12.75">
      <c r="A52" s="5">
        <v>1.25</v>
      </c>
      <c r="B52" s="5">
        <v>0.75</v>
      </c>
      <c r="C52" s="6">
        <f>C50+SUM(B50:B51)*B$9</f>
        <v>2380.2</v>
      </c>
      <c r="D52" s="6">
        <f>ROUND(J52,0)</f>
        <v>8</v>
      </c>
      <c r="E52" s="6">
        <f>E50+SUM(A50:B51)</f>
        <v>138.85999999999999</v>
      </c>
      <c r="F52">
        <v>1</v>
      </c>
      <c r="G52" s="15"/>
      <c r="I52" s="5">
        <f>E52/30</f>
        <v>4.628666666666666</v>
      </c>
      <c r="J52" s="6">
        <f>L52*1000/M52/3600/0.63</f>
        <v>8.361485766917314</v>
      </c>
      <c r="K52" s="5">
        <f>A52+B52</f>
        <v>2</v>
      </c>
      <c r="L52" s="5">
        <f>VLOOKUP(K52,ShipDV!A$8:M$35,6)</f>
        <v>2.5277142857142856</v>
      </c>
      <c r="M52" s="2">
        <f>C52*V$36/(K52*1000)</f>
        <v>0.13329119999999997</v>
      </c>
      <c r="N52" s="5">
        <f>C52/8*N$9*J52*0.63</f>
        <v>145.49612032312928</v>
      </c>
      <c r="O52" s="2" t="e">
        <f>(F52+#REF!)*N52/1000</f>
        <v>#REF!</v>
      </c>
    </row>
    <row r="53" spans="1:13" ht="12.75">
      <c r="A53" s="6">
        <f>$F53*A52</f>
        <v>30</v>
      </c>
      <c r="B53" s="6">
        <f>$F53*B52</f>
        <v>18</v>
      </c>
      <c r="C53" s="15"/>
      <c r="D53" s="6">
        <f>$F53*D52</f>
        <v>192</v>
      </c>
      <c r="E53" s="15"/>
      <c r="F53">
        <v>24</v>
      </c>
      <c r="G53" s="15" t="s">
        <v>134</v>
      </c>
      <c r="J53" s="5"/>
      <c r="K53" s="5"/>
      <c r="L53" s="5"/>
      <c r="M53" s="5"/>
    </row>
    <row r="54" spans="1:15" ht="12.75">
      <c r="A54" s="5">
        <v>1.25</v>
      </c>
      <c r="B54" s="5">
        <v>0.75</v>
      </c>
      <c r="C54" s="6">
        <f>C52+SUM(B52:B53)*B$9</f>
        <v>2980.2</v>
      </c>
      <c r="E54" s="6">
        <f>E52+SUM(A52:B53)</f>
        <v>188.85999999999999</v>
      </c>
      <c r="F54">
        <v>0</v>
      </c>
      <c r="G54" s="15"/>
      <c r="I54" s="5">
        <f>E54/30</f>
        <v>6.295333333333333</v>
      </c>
      <c r="J54" s="6">
        <f>L54*1000/M54/3600/0.63</f>
        <v>6.678078123084554</v>
      </c>
      <c r="K54" s="5">
        <f>A54+B54</f>
        <v>2</v>
      </c>
      <c r="L54" s="5">
        <f>VLOOKUP(K54,ShipDV!A$8:M$35,6)</f>
        <v>2.5277142857142856</v>
      </c>
      <c r="M54" s="2">
        <f>C54*V$36/(K54*1000)</f>
        <v>0.16689119999999996</v>
      </c>
      <c r="N54" s="5">
        <f>C54/8*N$9*J54*0.63</f>
        <v>145.49612032312928</v>
      </c>
      <c r="O54" s="2" t="e">
        <f>(F54+#REF!)*N54/1000</f>
        <v>#REF!</v>
      </c>
    </row>
    <row r="55" spans="3:14" ht="12.75">
      <c r="C55" s="6"/>
      <c r="E55" s="15"/>
      <c r="G55" s="5" t="s">
        <v>290</v>
      </c>
      <c r="H55" s="5">
        <f>24/J54</f>
        <v>3.593848343438453</v>
      </c>
      <c r="I55" t="s">
        <v>291</v>
      </c>
      <c r="K55" s="6"/>
      <c r="L55" s="5"/>
      <c r="M55" s="5"/>
      <c r="N55" s="5"/>
    </row>
    <row r="56" spans="1:14" ht="12.75">
      <c r="A56" s="5">
        <f>SUM(A$30:A55)</f>
        <v>98.31</v>
      </c>
      <c r="B56" s="5" t="s">
        <v>136</v>
      </c>
      <c r="C56" t="s">
        <v>57</v>
      </c>
      <c r="D56" s="10">
        <f>SUM(D30:D55)</f>
        <v>1234.4026080937167</v>
      </c>
      <c r="F56">
        <f>SUM(F30:F55)</f>
        <v>115</v>
      </c>
      <c r="G56" t="s">
        <v>58</v>
      </c>
      <c r="H56" s="6">
        <f>K52*H55</f>
        <v>7.187696686876906</v>
      </c>
      <c r="I56" t="s">
        <v>292</v>
      </c>
      <c r="K56" s="6">
        <f>8/5</f>
        <v>1.6</v>
      </c>
      <c r="L56" s="5"/>
      <c r="M56" s="5" t="s">
        <v>257</v>
      </c>
      <c r="N56" s="5"/>
    </row>
    <row r="57" ht="12.75">
      <c r="N57" s="2" t="e">
        <f>SUM(O11:O73)</f>
        <v>#REF!</v>
      </c>
    </row>
    <row r="58" spans="3:14" ht="12.75">
      <c r="C58" t="s">
        <v>7</v>
      </c>
      <c r="D58" s="20">
        <f>ROUND(D56/24,1)</f>
        <v>51.4</v>
      </c>
      <c r="G58" t="s">
        <v>293</v>
      </c>
      <c r="N58" s="2"/>
    </row>
    <row r="59" spans="1:14" ht="12.75">
      <c r="A59">
        <v>66.4</v>
      </c>
      <c r="C59" s="5" t="s">
        <v>73</v>
      </c>
      <c r="D59" s="10">
        <v>6</v>
      </c>
      <c r="G59" t="s">
        <v>294</v>
      </c>
      <c r="I59" s="2">
        <f>H56/B67</f>
        <v>1.7969241717192266</v>
      </c>
      <c r="N59" s="2"/>
    </row>
    <row r="60" spans="4:14" ht="12.75">
      <c r="D60" s="10"/>
      <c r="J60" s="6">
        <f>J67</f>
        <v>15.957338252741886</v>
      </c>
      <c r="N60" s="2"/>
    </row>
    <row r="61" spans="4:14" ht="12.75">
      <c r="D61" s="10"/>
      <c r="I61" s="5">
        <f>I91</f>
        <v>15.899868706231295</v>
      </c>
      <c r="N61" s="2"/>
    </row>
    <row r="62" spans="4:14" ht="12.75">
      <c r="D62" s="10"/>
      <c r="N62" s="2"/>
    </row>
    <row r="63" spans="2:14" ht="12.75">
      <c r="B63">
        <v>56</v>
      </c>
      <c r="D63" s="10"/>
      <c r="F63" t="s">
        <v>348</v>
      </c>
      <c r="N63" s="2"/>
    </row>
    <row r="64" spans="1:6" ht="12.75">
      <c r="A64" t="s">
        <v>62</v>
      </c>
      <c r="E64">
        <f>ROUND(63.419,1)</f>
        <v>63.4</v>
      </c>
      <c r="F64" t="s">
        <v>33</v>
      </c>
    </row>
    <row r="65" spans="2:10" ht="12.75">
      <c r="B65" s="6">
        <v>4</v>
      </c>
      <c r="C65" t="s">
        <v>61</v>
      </c>
      <c r="E65" t="s">
        <v>50</v>
      </c>
      <c r="J65" t="s">
        <v>52</v>
      </c>
    </row>
    <row r="66" spans="1:14" ht="12.75">
      <c r="A66" t="s">
        <v>33</v>
      </c>
      <c r="B66" t="s">
        <v>53</v>
      </c>
      <c r="C66" t="s">
        <v>78</v>
      </c>
      <c r="D66" t="s">
        <v>54</v>
      </c>
      <c r="E66" t="s">
        <v>55</v>
      </c>
      <c r="I66" t="s">
        <v>137</v>
      </c>
      <c r="J66" t="s">
        <v>56</v>
      </c>
      <c r="K66" t="s">
        <v>63</v>
      </c>
      <c r="L66" t="s">
        <v>203</v>
      </c>
      <c r="M66" t="s">
        <v>205</v>
      </c>
      <c r="N66" t="s">
        <v>231</v>
      </c>
    </row>
    <row r="67" spans="1:15" ht="12.75">
      <c r="A67">
        <v>0</v>
      </c>
      <c r="B67" s="5">
        <v>4</v>
      </c>
      <c r="C67" s="6">
        <f>C54</f>
        <v>2980.2</v>
      </c>
      <c r="D67" s="6">
        <f>ROUND(J67,0)</f>
        <v>16</v>
      </c>
      <c r="E67" s="6">
        <f>E54+E27-E64</f>
        <v>137.23</v>
      </c>
      <c r="F67">
        <v>1</v>
      </c>
      <c r="G67" s="15"/>
      <c r="H67" s="5">
        <f>N67</f>
        <v>347.66451719576725</v>
      </c>
      <c r="I67" s="5">
        <f>E67/30</f>
        <v>4.574333333333333</v>
      </c>
      <c r="J67" s="6">
        <f>L67*1000/M67/3600/0.63</f>
        <v>15.957338252741886</v>
      </c>
      <c r="K67" s="5">
        <f>A67+B67</f>
        <v>4</v>
      </c>
      <c r="L67" s="5">
        <f>VLOOKUP(K67,ShipDV!A$8:M$35,6)</f>
        <v>3.0199999999999996</v>
      </c>
      <c r="M67" s="2">
        <f>C67*V$36/(K67*1000)</f>
        <v>0.08344559999999998</v>
      </c>
      <c r="N67" s="5">
        <f>C67/8*N$9*J67*0.63</f>
        <v>347.66451719576725</v>
      </c>
      <c r="O67" s="2">
        <f>(F67+F68)*N67/1000</f>
        <v>1.0429935515873017</v>
      </c>
    </row>
    <row r="68" spans="1:13" ht="12.75">
      <c r="A68" s="6">
        <f>$F68*A67</f>
        <v>0</v>
      </c>
      <c r="B68" s="6">
        <f>$F68*B67</f>
        <v>8</v>
      </c>
      <c r="C68" s="6"/>
      <c r="D68" s="6">
        <f>$F68*D67</f>
        <v>32</v>
      </c>
      <c r="F68">
        <v>2</v>
      </c>
      <c r="H68" s="6">
        <f>C67/B9</f>
        <v>93.13125</v>
      </c>
      <c r="I68" t="s">
        <v>248</v>
      </c>
      <c r="J68" s="5"/>
      <c r="K68" s="5"/>
      <c r="L68" s="5"/>
      <c r="M68" s="5"/>
    </row>
    <row r="69" spans="1:15" ht="12.75">
      <c r="A69">
        <v>0</v>
      </c>
      <c r="B69" s="5">
        <v>4</v>
      </c>
      <c r="C69" s="6">
        <f>C67+SUM(B67:B68)*B$9</f>
        <v>3364.2</v>
      </c>
      <c r="D69" s="6">
        <f>J69</f>
        <v>14.13591922621169</v>
      </c>
      <c r="E69" s="6">
        <f>E67+SUM(A67:B68)</f>
        <v>149.23</v>
      </c>
      <c r="F69">
        <v>1</v>
      </c>
      <c r="G69" s="15"/>
      <c r="H69" s="5">
        <f>N69</f>
        <v>347.6645171957672</v>
      </c>
      <c r="I69" s="5">
        <f>E69/30</f>
        <v>4.974333333333333</v>
      </c>
      <c r="J69" s="6">
        <f>L69*1000/M69/3600/0.63</f>
        <v>14.13591922621169</v>
      </c>
      <c r="K69" s="5">
        <f>A69+B69</f>
        <v>4</v>
      </c>
      <c r="L69" s="5">
        <f>VLOOKUP(K69,ShipDV!A$8:M$35,6)</f>
        <v>3.0199999999999996</v>
      </c>
      <c r="M69" s="2">
        <f>C69*V$36/(K69*1000)</f>
        <v>0.09419759999999998</v>
      </c>
      <c r="N69" s="5">
        <f>C69/8*N$9*J69*0.63</f>
        <v>347.6645171957672</v>
      </c>
      <c r="O69" s="2">
        <f>(F69+F70)*N69/1000</f>
        <v>1.7383225859788358</v>
      </c>
    </row>
    <row r="70" spans="1:19" ht="12.75">
      <c r="A70" s="6">
        <f>$F70*A69</f>
        <v>0</v>
      </c>
      <c r="B70" s="6">
        <f>$F70*B69</f>
        <v>16</v>
      </c>
      <c r="C70" s="6"/>
      <c r="D70" s="6">
        <f>$F70*D69</f>
        <v>56.54367690484676</v>
      </c>
      <c r="F70">
        <v>4</v>
      </c>
      <c r="G70" s="15" t="s">
        <v>135</v>
      </c>
      <c r="J70" s="5"/>
      <c r="K70" s="5"/>
      <c r="L70" s="5"/>
      <c r="M70" s="5"/>
      <c r="Q70" t="e">
        <f>#REF!/8</f>
        <v>#REF!</v>
      </c>
      <c r="R70" t="e">
        <f>20*Q70</f>
        <v>#REF!</v>
      </c>
      <c r="S70" t="s">
        <v>249</v>
      </c>
    </row>
    <row r="71" spans="1:15" ht="12.75">
      <c r="A71">
        <v>0</v>
      </c>
      <c r="B71" s="5">
        <v>4</v>
      </c>
      <c r="C71" s="6">
        <f>C69+SUM(B69:B70)*B$9</f>
        <v>4004.2</v>
      </c>
      <c r="D71" s="6">
        <f>ROUND(J71/S$4+0.4,0)*S$4</f>
        <v>11.999568518518519</v>
      </c>
      <c r="E71" s="6">
        <f>E69+SUM(A69:B70)</f>
        <v>169.23</v>
      </c>
      <c r="F71">
        <v>1</v>
      </c>
      <c r="G71" s="15"/>
      <c r="H71" s="5">
        <f>N71</f>
        <v>347.6645171957672</v>
      </c>
      <c r="I71" s="5">
        <f>E71/30</f>
        <v>5.641</v>
      </c>
      <c r="J71" s="6">
        <f>L71*1000/M71/3600/0.63</f>
        <v>11.876544493487179</v>
      </c>
      <c r="K71" s="5">
        <f>A71+B71</f>
        <v>4</v>
      </c>
      <c r="L71" s="5">
        <f>VLOOKUP(K71,ShipDV!A$8:M$35,6)</f>
        <v>3.0199999999999996</v>
      </c>
      <c r="M71" s="2">
        <f>C71*V$36/(K71*1000)</f>
        <v>0.11211759999999998</v>
      </c>
      <c r="N71" s="5">
        <f>C71/8*N$9*J71*0.63</f>
        <v>347.6645171957672</v>
      </c>
      <c r="O71" s="2">
        <f>(F71+F72)*N71/1000</f>
        <v>2.7813161375661375</v>
      </c>
    </row>
    <row r="72" spans="1:13" ht="12.75">
      <c r="A72" s="6">
        <f>$F72*A71</f>
        <v>0</v>
      </c>
      <c r="B72" s="6">
        <f>$F72*B71</f>
        <v>28</v>
      </c>
      <c r="C72" s="6"/>
      <c r="D72" s="6">
        <f>$F72*D71</f>
        <v>83.99697962962964</v>
      </c>
      <c r="F72">
        <v>7</v>
      </c>
      <c r="J72" s="5"/>
      <c r="K72" s="5"/>
      <c r="L72" s="5"/>
      <c r="M72" s="5"/>
    </row>
    <row r="73" spans="1:15" ht="12.75">
      <c r="A73" s="15"/>
      <c r="B73" s="15"/>
      <c r="C73" s="6">
        <f>C71+SUM(B71:B72)*B$9</f>
        <v>5028.2</v>
      </c>
      <c r="D73" s="15"/>
      <c r="E73" s="6">
        <f>E71+SUM(A71:B72)</f>
        <v>201.23</v>
      </c>
      <c r="F73" s="15"/>
      <c r="G73" s="15"/>
      <c r="H73" s="5">
        <f>N73</f>
        <v>347.6645171957672</v>
      </c>
      <c r="I73" s="5">
        <f>E73/30</f>
        <v>6.707666666666666</v>
      </c>
      <c r="J73" s="6">
        <f>L73*1000/M73/3600/0.63</f>
        <v>9.457869508138373</v>
      </c>
      <c r="K73" s="5">
        <f>K71</f>
        <v>4</v>
      </c>
      <c r="L73" s="5">
        <f>VLOOKUP(K73,ShipDV!A$8:M$35,6)</f>
        <v>3.0199999999999996</v>
      </c>
      <c r="M73" s="2">
        <f>C73*V$36/(K73*1000)</f>
        <v>0.1407896</v>
      </c>
      <c r="N73" s="5">
        <f>C73/8*N$9*J73*0.63</f>
        <v>347.6645171957672</v>
      </c>
      <c r="O73" s="2" t="e">
        <f>(F73+#REF!)*N73/1000</f>
        <v>#REF!</v>
      </c>
    </row>
    <row r="74" spans="1:14" ht="12.75">
      <c r="A74">
        <f>SUM(A$67:A73)</f>
        <v>0</v>
      </c>
      <c r="C74" t="s">
        <v>57</v>
      </c>
      <c r="D74" s="6">
        <f>SUM(D65:D72)</f>
        <v>214.6761442792066</v>
      </c>
      <c r="E74" s="5">
        <f>D74/24</f>
        <v>8.944839344966942</v>
      </c>
      <c r="G74" s="15"/>
      <c r="J74" s="5"/>
      <c r="K74" s="6"/>
      <c r="L74" s="5"/>
      <c r="M74" s="5"/>
      <c r="N74" t="e">
        <f>#REF!/#REF!</f>
        <v>#REF!</v>
      </c>
    </row>
    <row r="75" spans="1:6" ht="12.75">
      <c r="A75">
        <f>SUM(F67:F74)</f>
        <v>16</v>
      </c>
      <c r="B75" t="s">
        <v>58</v>
      </c>
      <c r="C75" s="9" t="s">
        <v>7</v>
      </c>
      <c r="D75" s="20">
        <f>ROUND(D74/24+0.5,1)</f>
        <v>9.4</v>
      </c>
      <c r="F75" s="6">
        <f>I97</f>
        <v>16.817469953212935</v>
      </c>
    </row>
    <row r="76" ht="12.75">
      <c r="G76">
        <v>120</v>
      </c>
    </row>
    <row r="77" spans="2:10" ht="12.75">
      <c r="B77" s="9" t="s">
        <v>59</v>
      </c>
      <c r="C77" s="9" t="s">
        <v>60</v>
      </c>
      <c r="D77" s="9" t="s">
        <v>104</v>
      </c>
      <c r="E77" t="s">
        <v>113</v>
      </c>
      <c r="H77" t="s">
        <v>7</v>
      </c>
      <c r="I77" t="s">
        <v>258</v>
      </c>
      <c r="J77" t="s">
        <v>374</v>
      </c>
    </row>
    <row r="78" spans="1:10" ht="12.75">
      <c r="A78" t="s">
        <v>360</v>
      </c>
      <c r="B78" s="17">
        <f>(Cost!F$6*D26+Cost!F$10*F25)/1000000</f>
        <v>6.580723084405122</v>
      </c>
      <c r="C78" s="17">
        <f>(C30-C11)*B$8/1000</f>
        <v>0.8160000000000001</v>
      </c>
      <c r="D78" s="17">
        <f>C78</f>
        <v>0.8160000000000001</v>
      </c>
      <c r="E78" s="27">
        <f>G$102*B5/1000</f>
        <v>0.352</v>
      </c>
      <c r="F78" s="27">
        <f>SUM(B78:E78)</f>
        <v>8.564723084405122</v>
      </c>
      <c r="H78" s="6">
        <f>D26</f>
        <v>20.62909814519674</v>
      </c>
      <c r="I78" s="6">
        <f>H78/7</f>
        <v>2.947014020742391</v>
      </c>
      <c r="J78" s="10">
        <f>F25</f>
        <v>36</v>
      </c>
    </row>
    <row r="79" spans="1:10" ht="12.75">
      <c r="A79" t="s">
        <v>66</v>
      </c>
      <c r="B79" s="17">
        <f>(Cost!F$6*D58+Cost!F$10*F56)/1000000</f>
        <v>19.432876712328767</v>
      </c>
      <c r="C79" s="17">
        <f>(C67-C30)*B$8/1000</f>
        <v>13.16</v>
      </c>
      <c r="D79" s="17">
        <f>C79</f>
        <v>13.16</v>
      </c>
      <c r="E79" s="27">
        <f>G$102*E27/1000</f>
        <v>1.8831999999999998</v>
      </c>
      <c r="F79" s="27">
        <f>SUM(B79:E79)</f>
        <v>47.63607671232877</v>
      </c>
      <c r="H79" s="6">
        <f>D58</f>
        <v>51.4</v>
      </c>
      <c r="I79" s="6">
        <f>H79/7</f>
        <v>7.3428571428571425</v>
      </c>
      <c r="J79">
        <f>F56</f>
        <v>115</v>
      </c>
    </row>
    <row r="80" spans="1:10" ht="12.75">
      <c r="A80" t="s">
        <v>65</v>
      </c>
      <c r="B80" s="17">
        <f>(Cost!F$6*D75+Cost!F$10*A75)/1000000</f>
        <v>2.95013698630137</v>
      </c>
      <c r="C80" s="17">
        <f>SUM(B67:B73)*B8*B9/1000</f>
        <v>10.24</v>
      </c>
      <c r="D80" s="17">
        <f>C80/2</f>
        <v>5.12</v>
      </c>
      <c r="E80" s="27">
        <f>G$102*E64/1000</f>
        <v>10.144</v>
      </c>
      <c r="F80" s="27">
        <f>SUM(B80:E80)</f>
        <v>28.45413698630137</v>
      </c>
      <c r="H80" s="6">
        <f>D75</f>
        <v>9.4</v>
      </c>
      <c r="I80" s="6">
        <f>H80/7</f>
        <v>1.342857142857143</v>
      </c>
      <c r="J80">
        <f>A75</f>
        <v>16</v>
      </c>
    </row>
    <row r="81" spans="1:8" ht="12.75">
      <c r="A81" t="s">
        <v>67</v>
      </c>
      <c r="B81" s="17">
        <f>SUM(B78:B80)</f>
        <v>28.96373678303526</v>
      </c>
      <c r="C81" s="17">
        <f>(C91-C4)*B$8/1000</f>
        <v>24.216</v>
      </c>
      <c r="D81" s="17">
        <f>SUM(D78:D80)</f>
        <v>19.096</v>
      </c>
      <c r="E81" s="27">
        <f>SUM(E78:E80)</f>
        <v>12.3792</v>
      </c>
      <c r="F81" s="27">
        <f>SUM(B81:E81)</f>
        <v>84.65493678303525</v>
      </c>
      <c r="H81" s="10">
        <f>D59</f>
        <v>6</v>
      </c>
    </row>
    <row r="82" spans="1:13" ht="12.75">
      <c r="A82" t="s">
        <v>360</v>
      </c>
      <c r="B82" s="17">
        <f>G3</f>
        <v>12</v>
      </c>
      <c r="C82" s="27">
        <f>G4</f>
        <v>3.6999999999999997</v>
      </c>
      <c r="D82" s="17"/>
      <c r="E82" s="27"/>
      <c r="F82" s="27">
        <f>B82+C82</f>
        <v>15.7</v>
      </c>
      <c r="H82" s="20">
        <f>SUM(H78:H81)</f>
        <v>87.42909814519675</v>
      </c>
      <c r="I82" s="6">
        <f>H82/7</f>
        <v>12.489871163599535</v>
      </c>
      <c r="J82" s="10">
        <f>SUM(J78:J80)</f>
        <v>167</v>
      </c>
      <c r="L82" t="s">
        <v>119</v>
      </c>
      <c r="M82" t="s">
        <v>118</v>
      </c>
    </row>
    <row r="83" spans="1:13" ht="12.75">
      <c r="A83" s="20"/>
      <c r="B83" s="41">
        <f>B81/$F$83</f>
        <v>0.2886129742242188</v>
      </c>
      <c r="C83" s="41">
        <f>C81/$F$83</f>
        <v>0.24130352503090463</v>
      </c>
      <c r="D83" s="41">
        <f>D81/$F$83</f>
        <v>0.19028460992691423</v>
      </c>
      <c r="E83" s="41">
        <f>E81/$F$83</f>
        <v>0.12335417067486681</v>
      </c>
      <c r="F83" s="17">
        <f>F81+F82</f>
        <v>100.35493678303526</v>
      </c>
      <c r="L83">
        <v>-48.553</v>
      </c>
      <c r="M83">
        <v>-8.16</v>
      </c>
    </row>
    <row r="84" spans="1:6" ht="12.75">
      <c r="A84" s="20"/>
      <c r="B84" s="41">
        <f>B82/$F$83</f>
        <v>0.11957558227497751</v>
      </c>
      <c r="C84" s="41">
        <f>C82/$F$83</f>
        <v>0.03686913786811807</v>
      </c>
      <c r="D84" s="17"/>
      <c r="E84" s="27"/>
      <c r="F84" s="17"/>
    </row>
    <row r="85" spans="1:14" ht="12.75">
      <c r="A85" s="20" t="s">
        <v>237</v>
      </c>
      <c r="B85" s="17" t="s">
        <v>53</v>
      </c>
      <c r="C85" s="17"/>
      <c r="D85" s="17"/>
      <c r="E85" s="27"/>
      <c r="F85" s="17"/>
      <c r="I85" t="s">
        <v>171</v>
      </c>
      <c r="J85" t="s">
        <v>56</v>
      </c>
      <c r="K85" t="s">
        <v>15</v>
      </c>
      <c r="L85" t="s">
        <v>203</v>
      </c>
      <c r="M85" t="s">
        <v>205</v>
      </c>
      <c r="N85" t="s">
        <v>231</v>
      </c>
    </row>
    <row r="86" spans="1:14" ht="12.75">
      <c r="A86" s="20"/>
      <c r="B86" s="6">
        <f>(C86-C$11)/B$9+B$4</f>
        <v>153.2</v>
      </c>
      <c r="C86" s="6">
        <f>C91</f>
        <v>5028.2</v>
      </c>
      <c r="D86" s="6">
        <f>ROUND(I86/S$4+0.4,0)*S$4</f>
        <v>10.285344444444444</v>
      </c>
      <c r="E86" s="27"/>
      <c r="F86" s="27"/>
      <c r="G86" s="31">
        <f>N86</f>
        <v>347.6645171957672</v>
      </c>
      <c r="I86" s="6">
        <f>L86*1000/M86/3600/0.63</f>
        <v>9.457869508138373</v>
      </c>
      <c r="K86">
        <v>4</v>
      </c>
      <c r="L86" s="5">
        <f>VLOOKUP(K86,ShipDV!A$8:M$35,6)</f>
        <v>3.0199999999999996</v>
      </c>
      <c r="M86" s="2">
        <f>C86*V$36/(K86*1000)</f>
        <v>0.1407896</v>
      </c>
      <c r="N86" s="5">
        <f>C86/8*N$9*I86*0.63</f>
        <v>347.6645171957672</v>
      </c>
    </row>
    <row r="87" spans="1:14" ht="12.75">
      <c r="A87" s="20"/>
      <c r="B87" s="6">
        <f>(C87-C$11)/B$9+B$4</f>
        <v>211.69375</v>
      </c>
      <c r="C87" s="6">
        <v>6900</v>
      </c>
      <c r="D87" s="6">
        <f>ROUND(I87/S$4+0.4,0)*S$4</f>
        <v>6.856896296296297</v>
      </c>
      <c r="E87" s="27"/>
      <c r="F87" s="27"/>
      <c r="G87" s="31">
        <f>N87</f>
        <v>347.66451719576725</v>
      </c>
      <c r="I87" s="6">
        <f>L87*1000/M87/3600/0.63</f>
        <v>6.892182530553821</v>
      </c>
      <c r="K87">
        <v>4</v>
      </c>
      <c r="L87" s="5">
        <f>VLOOKUP(K87,ShipDV!A$8:M$35,6)</f>
        <v>3.0199999999999996</v>
      </c>
      <c r="M87" s="2">
        <f>C87*V$36/(K87*1000)</f>
        <v>0.19319999999999998</v>
      </c>
      <c r="N87" s="5">
        <f>C87/8*N$9*I87*0.63</f>
        <v>347.66451719576725</v>
      </c>
    </row>
    <row r="88" spans="1:14" ht="12.75">
      <c r="A88" s="20"/>
      <c r="B88" s="6">
        <f>(C88-C$11)/B$9+B$4</f>
        <v>205.44375</v>
      </c>
      <c r="C88" s="6">
        <f>C93</f>
        <v>6700</v>
      </c>
      <c r="D88" s="6">
        <f>ROUND(I88/S$4+0.4,0)*S$4</f>
        <v>8.571120370370371</v>
      </c>
      <c r="E88" s="27"/>
      <c r="F88" s="27"/>
      <c r="G88" s="27"/>
      <c r="I88" s="6">
        <f>L88*1000/M88/3600/0.63</f>
        <v>7.097919322510651</v>
      </c>
      <c r="K88">
        <v>4</v>
      </c>
      <c r="L88" s="5">
        <f>VLOOKUP(K88,ShipDV!A$8:M$35,6)</f>
        <v>3.0199999999999996</v>
      </c>
      <c r="M88" s="2">
        <f>C88*V$36/(K88*1000)</f>
        <v>0.1876</v>
      </c>
      <c r="N88" s="5">
        <f>C88/8*N$9*I88*0.63</f>
        <v>347.6645171957672</v>
      </c>
    </row>
    <row r="89" spans="1:16" ht="12.75">
      <c r="A89" s="20"/>
      <c r="B89" s="6">
        <f>(C89-C$11)/B$9+B$4</f>
        <v>308.56875</v>
      </c>
      <c r="C89" s="6">
        <f>C94</f>
        <v>10000</v>
      </c>
      <c r="D89" s="6">
        <f>ROUND(I89/S$4+0.4,0)*S$4</f>
        <v>5.142672222222222</v>
      </c>
      <c r="E89" s="27"/>
      <c r="F89" s="27"/>
      <c r="G89" s="27"/>
      <c r="I89" s="6">
        <f>L89*1000/M89/3600/0.63</f>
        <v>4.755605946082137</v>
      </c>
      <c r="K89">
        <v>4</v>
      </c>
      <c r="L89" s="5">
        <f>VLOOKUP(K89,ShipDV!A$8:M$35,6)</f>
        <v>3.0199999999999996</v>
      </c>
      <c r="M89" s="2">
        <f>C89*V$36/(K89*1000)</f>
        <v>0.2799999999999999</v>
      </c>
      <c r="N89" s="5">
        <f>C89/8*N$9*I89*0.63</f>
        <v>347.66451719576725</v>
      </c>
      <c r="P89">
        <v>9.642</v>
      </c>
    </row>
    <row r="90" spans="1:18" ht="12.75">
      <c r="A90" s="20" t="s">
        <v>116</v>
      </c>
      <c r="B90" s="20"/>
      <c r="C90" s="20"/>
      <c r="D90" s="20" t="s">
        <v>117</v>
      </c>
      <c r="E90" s="6"/>
      <c r="F90">
        <v>10.73</v>
      </c>
      <c r="G90" s="15" t="s">
        <v>132</v>
      </c>
      <c r="I90" s="6"/>
      <c r="K90" s="5"/>
      <c r="L90" s="5"/>
      <c r="M90" s="5"/>
      <c r="O90" t="s">
        <v>247</v>
      </c>
      <c r="P90" s="2">
        <f>SQRT(Q90*Q90+R90*R90)</f>
        <v>8.587784463993028</v>
      </c>
      <c r="Q90">
        <v>8.441</v>
      </c>
      <c r="R90">
        <v>1.581</v>
      </c>
    </row>
    <row r="91" spans="1:16" ht="12.75">
      <c r="A91" s="45">
        <f>C91/B$9</f>
        <v>157.13125</v>
      </c>
      <c r="B91" s="6">
        <f>(C91-C$11)/B$9+B$4</f>
        <v>153.2</v>
      </c>
      <c r="C91" s="20">
        <f>C73</f>
        <v>5028.2</v>
      </c>
      <c r="D91" s="20">
        <f>ROUND(I91/S$4+0.4,0)*S$4</f>
        <v>17.142240740740743</v>
      </c>
      <c r="G91" s="15"/>
      <c r="I91" s="6">
        <f>L91*1000/M91/3600/0.63</f>
        <v>15.899868706231295</v>
      </c>
      <c r="K91">
        <v>4</v>
      </c>
      <c r="L91" s="5">
        <f>P93</f>
        <v>5.076999999999999</v>
      </c>
      <c r="M91" s="2">
        <f>C91*V$36/(K91*1000)</f>
        <v>0.1407896</v>
      </c>
      <c r="N91" s="5">
        <f>C91/8*N$9*I91*0.63</f>
        <v>584.4677992724867</v>
      </c>
      <c r="O91" t="s">
        <v>295</v>
      </c>
      <c r="P91">
        <v>0.145</v>
      </c>
    </row>
    <row r="92" spans="1:16" ht="12.75">
      <c r="A92" s="45">
        <f>C92/B$9</f>
        <v>109.375</v>
      </c>
      <c r="B92" s="6">
        <f>(C92-C$11)/B$9+B$4</f>
        <v>105.44375</v>
      </c>
      <c r="C92" s="6">
        <v>3500</v>
      </c>
      <c r="D92" s="6">
        <f>ROUND(I92/S$4+0.4,0)*S$4</f>
        <v>23.999137037037038</v>
      </c>
      <c r="G92" s="15"/>
      <c r="I92" s="6">
        <f>L92*1000/M92/3600/0.63</f>
        <v>22.842205665334912</v>
      </c>
      <c r="K92">
        <v>4</v>
      </c>
      <c r="L92" s="5">
        <f>L$91</f>
        <v>5.076999999999999</v>
      </c>
      <c r="M92" s="2">
        <f>C92*V$36/(K92*1000)</f>
        <v>0.09799999999999999</v>
      </c>
      <c r="N92" s="5">
        <f>C92/8*N$9*I92*0.63</f>
        <v>584.4677992724867</v>
      </c>
      <c r="P92">
        <f>P89-5+P91</f>
        <v>4.786999999999999</v>
      </c>
    </row>
    <row r="93" spans="1:16" ht="12.75">
      <c r="A93" s="45">
        <f>C93/B$9</f>
        <v>209.375</v>
      </c>
      <c r="B93" s="6">
        <f>(C93-C$11)/B$9+B$4</f>
        <v>205.44375</v>
      </c>
      <c r="C93" s="6">
        <v>6700</v>
      </c>
      <c r="D93" s="6">
        <f>ROUND(I93/S$4+0.4,0)*S$4</f>
        <v>11.999568518518519</v>
      </c>
      <c r="G93" s="15"/>
      <c r="I93" s="6">
        <f>L93*1000/M93/3600/0.63</f>
        <v>11.932495496816745</v>
      </c>
      <c r="K93">
        <v>4</v>
      </c>
      <c r="L93" s="5">
        <f>L$91</f>
        <v>5.076999999999999</v>
      </c>
      <c r="M93" s="2">
        <f>C93*V$36/(K93*1000)</f>
        <v>0.1876</v>
      </c>
      <c r="N93" s="5">
        <f>C93/8*N$9*I93*0.63</f>
        <v>584.4677992724867</v>
      </c>
      <c r="P93">
        <f>P92+2*P91</f>
        <v>5.076999999999999</v>
      </c>
    </row>
    <row r="94" spans="1:14" ht="12.75">
      <c r="A94" s="45">
        <f>C94/B$9</f>
        <v>312.5</v>
      </c>
      <c r="B94" s="6">
        <f>(C94-C$11)/B$9+B$4</f>
        <v>308.56875</v>
      </c>
      <c r="C94" s="6">
        <v>10000</v>
      </c>
      <c r="D94" s="6">
        <f>ROUND(I94,0)</f>
        <v>8</v>
      </c>
      <c r="G94" s="15"/>
      <c r="I94" s="6">
        <f>L94*1000/M94/3600/0.63</f>
        <v>7.9947719828672215</v>
      </c>
      <c r="K94">
        <v>4</v>
      </c>
      <c r="L94" s="5">
        <f>L$91</f>
        <v>5.076999999999999</v>
      </c>
      <c r="M94" s="2">
        <f>C94*V$36/(K94*1000)</f>
        <v>0.2799999999999999</v>
      </c>
      <c r="N94" s="5">
        <f>C94/8*N$9*I94*0.63</f>
        <v>584.4677992724869</v>
      </c>
    </row>
    <row r="95" spans="1:14" ht="12.75">
      <c r="A95" s="45">
        <f>C95/B$9</f>
        <v>421.875</v>
      </c>
      <c r="B95" s="6">
        <f>(C95-C$11)/B$9+B$4</f>
        <v>417.94375</v>
      </c>
      <c r="C95" s="6">
        <v>13500</v>
      </c>
      <c r="D95" s="6">
        <f>ROUND(I95/S$4+0.4,0)*S$4</f>
        <v>6.856896296296297</v>
      </c>
      <c r="E95" t="s">
        <v>128</v>
      </c>
      <c r="G95" s="15"/>
      <c r="H95" s="5">
        <f>24/I95</f>
        <v>4.052648414417964</v>
      </c>
      <c r="I95" s="6">
        <f>L95*1000/M95/3600/0.63</f>
        <v>5.922053320642385</v>
      </c>
      <c r="K95">
        <v>4</v>
      </c>
      <c r="L95" s="5">
        <f>L$91</f>
        <v>5.076999999999999</v>
      </c>
      <c r="M95" s="2">
        <f>C95*V$36/(K95*1000)</f>
        <v>0.37799999999999995</v>
      </c>
      <c r="N95" s="5">
        <f>C95/8*N$9*I95*0.63</f>
        <v>584.4677992724867</v>
      </c>
    </row>
    <row r="96" spans="1:16" ht="12.75">
      <c r="A96" s="20"/>
      <c r="B96" s="5"/>
      <c r="C96" t="s">
        <v>133</v>
      </c>
      <c r="D96" s="6"/>
      <c r="G96" s="15"/>
      <c r="H96" s="5"/>
      <c r="I96" s="6"/>
      <c r="K96" s="5"/>
      <c r="L96" s="5"/>
      <c r="M96" s="5"/>
      <c r="O96" t="s">
        <v>247</v>
      </c>
      <c r="P96" s="2">
        <v>10.08</v>
      </c>
    </row>
    <row r="97" spans="1:16" ht="12.75">
      <c r="A97" s="45">
        <f>C97/B$9</f>
        <v>157.13125</v>
      </c>
      <c r="B97" s="6">
        <f>(C97-C$11)/B$9+B$4</f>
        <v>153.2</v>
      </c>
      <c r="C97" s="20">
        <f>C91</f>
        <v>5028.2</v>
      </c>
      <c r="D97" s="6">
        <f>ROUND(I97/S$4+0.4,0)*S$4</f>
        <v>17.142240740740743</v>
      </c>
      <c r="G97" s="15"/>
      <c r="H97" s="5">
        <f>24/I97</f>
        <v>1.42708743150838</v>
      </c>
      <c r="I97" s="6">
        <f>L97*1000/M97/3600/0.63</f>
        <v>16.817469953212935</v>
      </c>
      <c r="K97">
        <v>4</v>
      </c>
      <c r="L97" s="5">
        <f>P96-5+2*P97</f>
        <v>5.37</v>
      </c>
      <c r="M97" s="2">
        <f>C97*V$36/(K97*1000)</f>
        <v>0.1407896</v>
      </c>
      <c r="N97" s="5">
        <f>C97/8*N$9*I97*0.63</f>
        <v>618.1981646825396</v>
      </c>
      <c r="O97" t="s">
        <v>295</v>
      </c>
      <c r="P97">
        <v>0.145</v>
      </c>
    </row>
    <row r="98" spans="1:14" ht="12.75">
      <c r="A98" s="45">
        <f>C98/B$9</f>
        <v>421.875</v>
      </c>
      <c r="B98" s="6">
        <f>(C98-C$11)/B$9+B$4</f>
        <v>417.94375</v>
      </c>
      <c r="C98" s="6">
        <v>13500</v>
      </c>
      <c r="D98" s="6">
        <f>ROUND(I98/S$4+0.4,0)*S$4</f>
        <v>6.856896296296297</v>
      </c>
      <c r="G98" s="31">
        <f>N98</f>
        <v>618.1981646825398</v>
      </c>
      <c r="H98" s="5">
        <f>24/I98</f>
        <v>3.83152625698324</v>
      </c>
      <c r="I98" s="6">
        <f>L98*1000/M98/3600/0.63</f>
        <v>6.2638224013885395</v>
      </c>
      <c r="K98">
        <v>4</v>
      </c>
      <c r="L98" s="5">
        <f>L$97</f>
        <v>5.37</v>
      </c>
      <c r="M98" s="2">
        <f>C98*V$36/(K98*1000)</f>
        <v>0.37799999999999995</v>
      </c>
      <c r="N98" s="5">
        <f>C98/8*N$9*I98*0.63</f>
        <v>618.1981646825398</v>
      </c>
    </row>
    <row r="100" spans="1:4" ht="12.75">
      <c r="A100" s="6">
        <v>4</v>
      </c>
      <c r="B100" t="s">
        <v>61</v>
      </c>
      <c r="D100" t="s">
        <v>313</v>
      </c>
    </row>
    <row r="101" spans="1:8" ht="12.75">
      <c r="A101" t="s">
        <v>95</v>
      </c>
      <c r="E101" t="s">
        <v>337</v>
      </c>
      <c r="G101" t="s">
        <v>105</v>
      </c>
      <c r="H101" t="s">
        <v>81</v>
      </c>
    </row>
    <row r="102" spans="1:10" ht="12.75">
      <c r="A102">
        <f>E64</f>
        <v>63.4</v>
      </c>
      <c r="B102" t="s">
        <v>96</v>
      </c>
      <c r="G102">
        <v>160</v>
      </c>
      <c r="H102" s="10">
        <f>ROUND(B5+A102+0.5,0)</f>
        <v>66</v>
      </c>
      <c r="J102">
        <f>A102/D109</f>
        <v>17.35875586963386</v>
      </c>
    </row>
    <row r="103" spans="1:8" ht="12.75">
      <c r="A103">
        <v>130</v>
      </c>
      <c r="B103" t="s">
        <v>97</v>
      </c>
      <c r="D103">
        <f>C91/8</f>
        <v>628.525</v>
      </c>
      <c r="E103" t="s">
        <v>238</v>
      </c>
      <c r="G103" t="s">
        <v>169</v>
      </c>
      <c r="H103" t="s">
        <v>170</v>
      </c>
    </row>
    <row r="104" spans="1:9" ht="12.75">
      <c r="A104">
        <f>A102+A103</f>
        <v>193.4</v>
      </c>
      <c r="D104">
        <f>C93/8</f>
        <v>837.5</v>
      </c>
      <c r="E104" t="s">
        <v>239</v>
      </c>
      <c r="G104">
        <v>40</v>
      </c>
      <c r="H104">
        <v>50</v>
      </c>
      <c r="I104" t="s">
        <v>164</v>
      </c>
    </row>
    <row r="105" spans="7:8" ht="12.75">
      <c r="G105">
        <v>0.5</v>
      </c>
      <c r="H105">
        <v>0.15</v>
      </c>
    </row>
    <row r="106" spans="5:9" ht="12.75">
      <c r="E106" s="9" t="s">
        <v>59</v>
      </c>
      <c r="F106" s="9" t="s">
        <v>60</v>
      </c>
      <c r="G106" s="9" t="s">
        <v>104</v>
      </c>
      <c r="H106" t="s">
        <v>113</v>
      </c>
      <c r="I106" t="s">
        <v>243</v>
      </c>
    </row>
    <row r="107" spans="4:9" ht="12.75">
      <c r="D107">
        <f>ROUND(A104/4,0)</f>
        <v>48</v>
      </c>
      <c r="E107" s="17">
        <f>Cost!D$38*D107/1000000</f>
        <v>8.429589041095891</v>
      </c>
      <c r="F107" s="18">
        <f>5*C86/1000</f>
        <v>25.141</v>
      </c>
      <c r="G107" s="17">
        <f>F107</f>
        <v>25.141</v>
      </c>
      <c r="H107" s="17">
        <f>E81</f>
        <v>12.3792</v>
      </c>
      <c r="I107" s="17">
        <f>SUM(E107:H107)</f>
        <v>71.09078904109589</v>
      </c>
    </row>
    <row r="108" spans="2:8" ht="12.75">
      <c r="B108" t="s">
        <v>244</v>
      </c>
      <c r="E108" s="52">
        <f>E107/$I107</f>
        <v>0.1185749821432274</v>
      </c>
      <c r="F108" s="52">
        <f>F107/$I107</f>
        <v>0.353646377246799</v>
      </c>
      <c r="G108" s="52">
        <f>G107/$I107</f>
        <v>0.353646377246799</v>
      </c>
      <c r="H108" s="52">
        <f>H107/$I107</f>
        <v>0.17413226336317467</v>
      </c>
    </row>
    <row r="109" spans="2:4" ht="12.75">
      <c r="B109">
        <v>12</v>
      </c>
      <c r="D109" s="2">
        <f>4-N86/1000</f>
        <v>3.652335482804233</v>
      </c>
    </row>
    <row r="110" spans="1:9" ht="12.75">
      <c r="A110" t="s">
        <v>78</v>
      </c>
      <c r="B110" t="s">
        <v>53</v>
      </c>
      <c r="D110" t="s">
        <v>98</v>
      </c>
      <c r="E110" s="9" t="s">
        <v>59</v>
      </c>
      <c r="F110" s="9" t="s">
        <v>60</v>
      </c>
      <c r="G110" s="9" t="s">
        <v>104</v>
      </c>
      <c r="H110" t="s">
        <v>113</v>
      </c>
      <c r="I110" t="s">
        <v>243</v>
      </c>
    </row>
    <row r="111" spans="1:9" ht="12.75">
      <c r="A111" s="10">
        <f>C91</f>
        <v>5028.2</v>
      </c>
      <c r="B111" s="6">
        <f>A111/B$9</f>
        <v>157.13125</v>
      </c>
      <c r="D111">
        <f>ROUND((B111+B$109+A$102)/D$109,0)</f>
        <v>64</v>
      </c>
      <c r="E111" s="47">
        <f>Cost!D$38*D111/1000000</f>
        <v>11.239452054794523</v>
      </c>
      <c r="F111" s="46">
        <f>B$8*A111/1000</f>
        <v>25.141</v>
      </c>
      <c r="G111" s="48">
        <f>F111</f>
        <v>25.141</v>
      </c>
      <c r="H111" s="49">
        <f>G$102*A$102/1000</f>
        <v>10.144</v>
      </c>
      <c r="I111" s="50">
        <f>SUM(E111:H111)</f>
        <v>71.66545205479451</v>
      </c>
    </row>
    <row r="112" spans="1:11" ht="12.75">
      <c r="A112" s="10">
        <f>C93</f>
        <v>6700</v>
      </c>
      <c r="B112" s="6">
        <f>A112/B$9</f>
        <v>209.375</v>
      </c>
      <c r="D112">
        <f>ROUND((B112+B$109+A$102)/D$109,0)</f>
        <v>78</v>
      </c>
      <c r="E112" s="47">
        <f>Cost!D$38*D112/1000000</f>
        <v>13.698082191780824</v>
      </c>
      <c r="F112" s="46">
        <f>B$8*A112/1000</f>
        <v>33.5</v>
      </c>
      <c r="G112" s="48">
        <f>F112</f>
        <v>33.5</v>
      </c>
      <c r="H112" s="49">
        <f>G$102*A$102/1000</f>
        <v>10.144</v>
      </c>
      <c r="I112" s="50">
        <f>SUM(E112:H112)</f>
        <v>90.84208219178083</v>
      </c>
      <c r="J112" s="6">
        <f>B112+B109</f>
        <v>221.375</v>
      </c>
      <c r="K112">
        <f>D109*D112</f>
        <v>284.88216765873017</v>
      </c>
    </row>
    <row r="113" spans="1:9" ht="12.75">
      <c r="A113" s="10">
        <f>C94</f>
        <v>10000</v>
      </c>
      <c r="B113" s="6">
        <f>A113/B$9</f>
        <v>312.5</v>
      </c>
      <c r="D113">
        <f>ROUND((B113+B$109+A$102)/D$109,0)</f>
        <v>106</v>
      </c>
      <c r="E113" s="47">
        <f>Cost!D$38*D113/1000000</f>
        <v>18.61534246575343</v>
      </c>
      <c r="F113" s="46">
        <f>B$8*A113/1000</f>
        <v>50</v>
      </c>
      <c r="G113" s="48">
        <f>F113</f>
        <v>50</v>
      </c>
      <c r="H113" s="49">
        <f>G$102*A$102/1000</f>
        <v>10.144</v>
      </c>
      <c r="I113" s="50">
        <f>SUM(E113:H113)</f>
        <v>128.75934246575343</v>
      </c>
    </row>
    <row r="114" spans="1:9" ht="12.75">
      <c r="A114" s="10">
        <f>C95</f>
        <v>13500</v>
      </c>
      <c r="B114" s="6">
        <f>A114/B$9</f>
        <v>421.875</v>
      </c>
      <c r="D114">
        <f>ROUND((B114+B$109+A$102)/D$109,0)</f>
        <v>136</v>
      </c>
      <c r="E114" s="47">
        <f>Cost!D$38*D114/1000000</f>
        <v>23.883835616438358</v>
      </c>
      <c r="F114" s="46">
        <f>B$8*A114/1000</f>
        <v>67.5</v>
      </c>
      <c r="G114" s="48">
        <f>F114</f>
        <v>67.5</v>
      </c>
      <c r="H114" s="49">
        <f>G$102*A$102/1000</f>
        <v>10.144</v>
      </c>
      <c r="I114" s="50">
        <f>SUM(E114:H114)</f>
        <v>169.02783561643838</v>
      </c>
    </row>
    <row r="116" spans="1:14" ht="12.75">
      <c r="A116" s="45"/>
      <c r="B116" s="6"/>
      <c r="C116" s="6" t="s">
        <v>241</v>
      </c>
      <c r="D116" s="6"/>
      <c r="G116" s="31"/>
      <c r="H116" s="5"/>
      <c r="I116" s="6"/>
      <c r="L116" s="5"/>
      <c r="M116" s="2"/>
      <c r="N116" s="5"/>
    </row>
    <row r="117" spans="1:14" ht="12.75">
      <c r="A117" s="45">
        <f>C117/B$9</f>
        <v>65</v>
      </c>
      <c r="C117" s="6">
        <v>2080</v>
      </c>
      <c r="D117" s="6">
        <f>ROUND(I117/S$4+0.4,0)*S$4</f>
        <v>11.999568518518519</v>
      </c>
      <c r="G117" s="31">
        <f>N117</f>
        <v>288.81481481481484</v>
      </c>
      <c r="H117" s="5">
        <f>24/I117</f>
        <v>2.005714285714286</v>
      </c>
      <c r="I117" s="5">
        <f>L117*1000/M117/3600</f>
        <v>11.965811965811966</v>
      </c>
      <c r="K117">
        <v>4</v>
      </c>
      <c r="L117" s="5">
        <v>1.4</v>
      </c>
      <c r="M117" s="2">
        <f>C117/16/(K117*1000)</f>
        <v>0.0325</v>
      </c>
      <c r="N117" s="5">
        <f>C117/8*N$9*I117</f>
        <v>288.81481481481484</v>
      </c>
    </row>
    <row r="118" spans="1:14" ht="12.75">
      <c r="A118" s="45">
        <f>C118/B$9</f>
        <v>103.125</v>
      </c>
      <c r="C118" s="6">
        <v>3300</v>
      </c>
      <c r="D118" s="6">
        <f>ROUND(I118/S$4+0.4,0)*S$4</f>
        <v>8.571120370370371</v>
      </c>
      <c r="G118" s="31">
        <f>N118</f>
        <v>288.81481481481484</v>
      </c>
      <c r="H118" s="5">
        <f>24/I118</f>
        <v>3.182142857142857</v>
      </c>
      <c r="I118" s="6">
        <f>L118*1000/M118/3600</f>
        <v>7.542087542087542</v>
      </c>
      <c r="K118">
        <v>4</v>
      </c>
      <c r="L118" s="5">
        <v>1.4</v>
      </c>
      <c r="M118" s="2">
        <f>C118/16/(K118*1000)</f>
        <v>0.0515625</v>
      </c>
      <c r="N118" s="5">
        <f>C118/8*N$9*I118</f>
        <v>288.81481481481484</v>
      </c>
    </row>
    <row r="119" spans="1:14" ht="12.75">
      <c r="A119" s="45"/>
      <c r="C119" s="6" t="s">
        <v>242</v>
      </c>
      <c r="D119" s="6"/>
      <c r="G119" s="31"/>
      <c r="H119" s="5"/>
      <c r="I119" s="6"/>
      <c r="L119" s="5"/>
      <c r="M119" s="2"/>
      <c r="N119" s="5"/>
    </row>
    <row r="120" spans="1:14" ht="12.75">
      <c r="A120" s="45">
        <f>C120/B$9</f>
        <v>65.625</v>
      </c>
      <c r="C120" s="6">
        <v>2100</v>
      </c>
      <c r="D120" s="6">
        <f>ROUND(I120/S$4+0.4,0)*S$4</f>
        <v>30.856033333333336</v>
      </c>
      <c r="G120" s="31">
        <f>N120</f>
        <v>752.9814814814815</v>
      </c>
      <c r="H120" s="5">
        <f>24/I120</f>
        <v>0.7767123287671233</v>
      </c>
      <c r="I120" s="6">
        <f>L120*1000/M120/3600</f>
        <v>30.8994708994709</v>
      </c>
      <c r="K120">
        <v>4</v>
      </c>
      <c r="L120" s="5">
        <f>1.4+2.25</f>
        <v>3.65</v>
      </c>
      <c r="M120" s="2">
        <f>C120/16/(K120*1000)</f>
        <v>0.0328125</v>
      </c>
      <c r="N120" s="5">
        <f>C120/8*N$9*I120</f>
        <v>752.9814814814815</v>
      </c>
    </row>
    <row r="121" spans="1:14" ht="12.75">
      <c r="A121" s="45">
        <f>C121/B$9</f>
        <v>103.125</v>
      </c>
      <c r="C121" s="6">
        <v>3300</v>
      </c>
      <c r="D121" s="6">
        <f>ROUND(I121/S$4+0.4,0)*S$4</f>
        <v>20.57068888888889</v>
      </c>
      <c r="G121" s="31">
        <f>N121</f>
        <v>752.9814814814818</v>
      </c>
      <c r="H121" s="5">
        <f>24/I121</f>
        <v>1.2205479452054793</v>
      </c>
      <c r="I121" s="6">
        <f>L121*1000/M121/3600</f>
        <v>19.663299663299668</v>
      </c>
      <c r="K121">
        <v>4</v>
      </c>
      <c r="L121" s="5">
        <f>L120</f>
        <v>3.65</v>
      </c>
      <c r="M121" s="2">
        <f>C121/16/(K121*1000)</f>
        <v>0.0515625</v>
      </c>
      <c r="N121" s="5">
        <f>C121/8*N$9*I121</f>
        <v>752.9814814814818</v>
      </c>
    </row>
    <row r="122" spans="1:14" ht="12.75">
      <c r="A122" s="45" t="s">
        <v>240</v>
      </c>
      <c r="C122" s="6"/>
      <c r="D122" s="6"/>
      <c r="G122" s="31"/>
      <c r="H122" s="5"/>
      <c r="I122" s="6"/>
      <c r="L122" s="5"/>
      <c r="M122" s="2"/>
      <c r="N122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4">
      <selection activeCell="E5" sqref="E5"/>
    </sheetView>
  </sheetViews>
  <sheetFormatPr defaultColWidth="9.140625" defaultRowHeight="12.75"/>
  <sheetData>
    <row r="2" spans="3:5" ht="12.75">
      <c r="C2" t="s">
        <v>383</v>
      </c>
      <c r="D2">
        <v>3</v>
      </c>
      <c r="E2">
        <v>5</v>
      </c>
    </row>
    <row r="3" spans="3:6" ht="12.75">
      <c r="C3" t="s">
        <v>382</v>
      </c>
      <c r="D3">
        <f>Falcon5!B5</f>
        <v>2.2</v>
      </c>
      <c r="E3">
        <f>Falcon5!E27</f>
        <v>11.77</v>
      </c>
      <c r="F3">
        <f>Falcon5!E64</f>
        <v>63.4</v>
      </c>
    </row>
    <row r="4" spans="1:6" ht="12.75">
      <c r="A4" t="s">
        <v>7</v>
      </c>
      <c r="B4" t="s">
        <v>349</v>
      </c>
      <c r="C4" t="s">
        <v>350</v>
      </c>
      <c r="D4" t="s">
        <v>384</v>
      </c>
      <c r="E4" t="s">
        <v>385</v>
      </c>
      <c r="F4" t="s">
        <v>381</v>
      </c>
    </row>
    <row r="5" spans="1:4" ht="12.75">
      <c r="A5">
        <f>ROUND(SUM(Falcon5!D$11:D11)/24,1)</f>
        <v>0.3</v>
      </c>
      <c r="B5" s="5">
        <f>Falcon5!K11</f>
        <v>0.2</v>
      </c>
      <c r="C5" s="5">
        <f>24/Falcon5!D11*B5</f>
        <v>0.6000000000000001</v>
      </c>
      <c r="D5">
        <f>Falcon5!E11+D$3</f>
        <v>4.82</v>
      </c>
    </row>
    <row r="6" spans="1:4" ht="12.75">
      <c r="A6">
        <f>ROUND(SUM(Falcon5!D$11:D13)/24,1)</f>
        <v>3.1</v>
      </c>
      <c r="B6" s="5">
        <f>Falcon5!K13</f>
        <v>0.30000000000000004</v>
      </c>
      <c r="C6" s="5">
        <f>24/Falcon5!D13*B6</f>
        <v>0.7373960309596616</v>
      </c>
      <c r="D6">
        <f>Falcon5!E13+D$3</f>
        <v>6.42</v>
      </c>
    </row>
    <row r="7" spans="1:4" ht="12.75">
      <c r="A7">
        <f>ROUND(SUM(Falcon5!D$11:D15)/24,1)</f>
        <v>6.5</v>
      </c>
      <c r="B7" s="5">
        <f>Falcon5!K15</f>
        <v>0.5</v>
      </c>
      <c r="C7" s="5">
        <f>24/Falcon5!D15*B7</f>
        <v>0.8542665829351536</v>
      </c>
      <c r="D7">
        <f>Falcon5!E15+D$3</f>
        <v>8.82</v>
      </c>
    </row>
    <row r="8" spans="1:4" ht="12.75">
      <c r="A8">
        <f>ROUND(SUM(Falcon5!D$11:D17)/24,1)</f>
        <v>9.5</v>
      </c>
      <c r="B8" s="5">
        <f>Falcon5!K17</f>
        <v>0.6</v>
      </c>
      <c r="C8" s="5">
        <f>24/Falcon5!D17*B8</f>
        <v>0.8892025396406786</v>
      </c>
      <c r="D8">
        <f>Falcon5!E17+D$3</f>
        <v>11.32</v>
      </c>
    </row>
    <row r="9" spans="1:4" ht="12.75">
      <c r="A9">
        <f>ROUND(SUM(Falcon5!D$11:D19)/24,1)</f>
        <v>12.3</v>
      </c>
      <c r="B9" s="5">
        <f>Falcon5!K19</f>
        <v>0.7</v>
      </c>
      <c r="C9" s="5">
        <f>24/Falcon5!D19*B9</f>
        <v>0.8909411262921811</v>
      </c>
      <c r="D9">
        <f>Falcon5!E19+D$3</f>
        <v>13.720000000000002</v>
      </c>
    </row>
    <row r="10" spans="1:4" ht="12.75">
      <c r="A10">
        <f>ROUND(SUM(Falcon5!D$11:D21)/24,1)</f>
        <v>15.5</v>
      </c>
      <c r="B10" s="5">
        <f>Falcon5!K21</f>
        <v>0.7999999999999999</v>
      </c>
      <c r="C10" s="5">
        <f>24/Falcon5!D21*B10</f>
        <v>0.9333668942108566</v>
      </c>
      <c r="D10">
        <f>Falcon5!E21+D$3</f>
        <v>16.52</v>
      </c>
    </row>
    <row r="11" spans="1:4" ht="12.75">
      <c r="A11">
        <f>ROUND(SUM(Falcon5!D$11:D23)/24,1)</f>
        <v>20.6</v>
      </c>
      <c r="B11" s="5">
        <f>Falcon5!K23</f>
        <v>0.7999999999999999</v>
      </c>
      <c r="C11" s="5">
        <f>24/Falcon5!D23*B11</f>
        <v>1.004035674045244</v>
      </c>
      <c r="D11">
        <f>Falcon5!E23+D$3</f>
        <v>21.32</v>
      </c>
    </row>
    <row r="12" ht="12.75">
      <c r="A12">
        <f>A11+D2</f>
        <v>23.6</v>
      </c>
    </row>
    <row r="13" spans="1:5" ht="12.75">
      <c r="A13">
        <f>ROUND(SUM(Falcon5!D$26:D30)/24,1)+A$12</f>
        <v>25</v>
      </c>
      <c r="B13" s="5">
        <f>Falcon5!K30</f>
        <v>0.5</v>
      </c>
      <c r="C13" s="5">
        <f>24/Falcon5!D30*B13</f>
        <v>1</v>
      </c>
      <c r="E13">
        <f>Falcon5!E30+E$3</f>
        <v>21.32</v>
      </c>
    </row>
    <row r="14" spans="1:5" ht="12.75">
      <c r="A14">
        <f>ROUND(SUM(Falcon5!D$26:D32)/24,1)+A$12</f>
        <v>27.5</v>
      </c>
      <c r="B14" s="5">
        <f>Falcon5!K32</f>
        <v>0.65</v>
      </c>
      <c r="C14" s="5">
        <f>24/Falcon5!D32*B14</f>
        <v>1.2549654827756707</v>
      </c>
      <c r="E14">
        <f>Falcon5!E32+E$3</f>
        <v>23.82</v>
      </c>
    </row>
    <row r="15" spans="1:5" ht="12.75">
      <c r="A15">
        <f>ROUND(SUM(Falcon5!D$26:D34)/24,1)+A$12</f>
        <v>30.1</v>
      </c>
      <c r="B15" s="5">
        <f>Falcon5!K34</f>
        <v>0.75</v>
      </c>
      <c r="C15" s="5">
        <f>24/Falcon5!D34*B15</f>
        <v>1.4653961216249085</v>
      </c>
      <c r="E15">
        <f>Falcon5!E34+E$3</f>
        <v>27.07</v>
      </c>
    </row>
    <row r="16" spans="1:5" ht="12.75">
      <c r="A16">
        <f>ROUND(SUM(Falcon5!D$26:D36)/24,1)+A$12</f>
        <v>32.1</v>
      </c>
      <c r="B16" s="5">
        <f>Falcon5!K36</f>
        <v>0.75</v>
      </c>
      <c r="C16" s="5">
        <f>24/Falcon5!D36*B16</f>
        <v>1.880620524446606</v>
      </c>
      <c r="E16">
        <f>Falcon5!E36+E$3</f>
        <v>31.57</v>
      </c>
    </row>
    <row r="17" spans="1:5" ht="12.75">
      <c r="A17">
        <f>ROUND(SUM(Falcon5!D$26:D38)/24,1)+A$12</f>
        <v>35.3</v>
      </c>
      <c r="B17" s="5">
        <f>Falcon5!K38</f>
        <v>1</v>
      </c>
      <c r="C17" s="5">
        <f>24/Falcon5!D38*B17</f>
        <v>2.3334172355271416</v>
      </c>
      <c r="E17">
        <f>Falcon5!E38+E$3</f>
        <v>37.57</v>
      </c>
    </row>
    <row r="18" spans="1:5" ht="12.75">
      <c r="A18">
        <f>ROUND(SUM(Falcon5!D$26:D40)/24,1)+A$12</f>
        <v>37.900000000000006</v>
      </c>
      <c r="B18" s="5">
        <f>Falcon5!K40</f>
        <v>1.1</v>
      </c>
      <c r="C18" s="5">
        <f>24/Falcon5!D40*B18</f>
        <v>2.6826757771472933</v>
      </c>
      <c r="E18">
        <f>Falcon5!E40+E$3</f>
        <v>43.57</v>
      </c>
    </row>
    <row r="19" spans="1:5" ht="12.75">
      <c r="A19">
        <f>ROUND(SUM(Falcon5!D$26:D42)/24,1)+A$12</f>
        <v>40.400000000000006</v>
      </c>
      <c r="B19" s="5">
        <f>Falcon5!K42</f>
        <v>1.3</v>
      </c>
      <c r="C19" s="5">
        <f>24/Falcon5!D42*B19</f>
        <v>2.8503423233532934</v>
      </c>
      <c r="E19">
        <f>Falcon5!E42+E$3</f>
        <v>50.17</v>
      </c>
    </row>
    <row r="20" spans="1:5" ht="12.75">
      <c r="A20">
        <f>ROUND(SUM(Falcon5!D$26:D44)/24,1)+A$12</f>
        <v>43.2</v>
      </c>
      <c r="B20" s="5">
        <f>Falcon5!K44</f>
        <v>1.6</v>
      </c>
      <c r="C20" s="5">
        <f>24/Falcon5!D44*B20</f>
        <v>2.983900915799701</v>
      </c>
      <c r="E20">
        <f>Falcon5!E44+E$3</f>
        <v>57.97</v>
      </c>
    </row>
    <row r="21" spans="1:5" ht="12.75">
      <c r="A21">
        <f>ROUND(SUM(Falcon5!D$26:D46)/24,1)+A$12</f>
        <v>47</v>
      </c>
      <c r="B21" s="5">
        <f>Falcon5!K46</f>
        <v>1.9100000000000001</v>
      </c>
      <c r="C21" s="5">
        <f>24/Falcon5!D46*B21</f>
        <v>3.3426201898926307</v>
      </c>
      <c r="E21">
        <f>Falcon5!E46+E$3</f>
        <v>69.16999999999999</v>
      </c>
    </row>
    <row r="22" spans="1:5" ht="12.75">
      <c r="A22">
        <f>ROUND(SUM(Falcon5!D$26:D48)/24,1)+A$12</f>
        <v>50.400000000000006</v>
      </c>
      <c r="B22" s="5">
        <f>Falcon5!K48</f>
        <v>2</v>
      </c>
      <c r="C22" s="5">
        <f>24/Falcon5!D48*B22</f>
        <v>3.71468036948118</v>
      </c>
      <c r="E22">
        <f>Falcon5!E48+E$3</f>
        <v>80.62999999999998</v>
      </c>
    </row>
    <row r="23" spans="1:5" ht="12.75">
      <c r="A23">
        <f>ROUND(SUM(Falcon5!D$26:D50)/24,1)+A$12</f>
        <v>53.1</v>
      </c>
      <c r="B23" s="5">
        <f>Falcon5!K50</f>
        <v>2</v>
      </c>
      <c r="C23" s="5">
        <f>24/Falcon5!D50*B23</f>
        <v>4.000143832332243</v>
      </c>
      <c r="E23">
        <f>Falcon5!E50+E$3</f>
        <v>90.62999999999998</v>
      </c>
    </row>
    <row r="24" spans="1:5" ht="12.75">
      <c r="A24">
        <f>ROUND(SUM(Falcon5!D$26:D52)/24,1)+A$12</f>
        <v>67.9</v>
      </c>
      <c r="B24" s="5">
        <f>Falcon5!K52</f>
        <v>2</v>
      </c>
      <c r="C24" s="5">
        <f>24/Falcon5!D52*B24</f>
        <v>6</v>
      </c>
      <c r="E24">
        <f>Falcon5!E52+E$3</f>
        <v>150.63</v>
      </c>
    </row>
    <row r="25" spans="1:5" ht="12.75">
      <c r="A25">
        <f>ROUND(SUM(Falcon5!D$26:D54)/24,1)+A$12</f>
        <v>75.9</v>
      </c>
      <c r="B25" s="5">
        <f>Falcon5!K54</f>
        <v>2</v>
      </c>
      <c r="C25" s="5">
        <f>24/Falcon5!J54*B25</f>
        <v>7.187696686876906</v>
      </c>
      <c r="E25">
        <f>Falcon5!E54+E$3</f>
        <v>200.63</v>
      </c>
    </row>
    <row r="26" spans="1:3" ht="12.75">
      <c r="A26">
        <f>A25+E2</f>
        <v>80.9</v>
      </c>
      <c r="B26" s="5"/>
      <c r="C26" s="5"/>
    </row>
    <row r="27" spans="1:6" ht="12.75">
      <c r="A27">
        <f>ROUND(SUM(Falcon5!D$67:D67)/24,1)+A$26</f>
        <v>81.60000000000001</v>
      </c>
      <c r="B27" s="5">
        <f>Falcon5!K67</f>
        <v>4</v>
      </c>
      <c r="C27" s="5">
        <f>24/Falcon5!J67*B27</f>
        <v>6.016040926092715</v>
      </c>
      <c r="F27">
        <f>Falcon5!E67+F$3</f>
        <v>200.63</v>
      </c>
    </row>
    <row r="28" spans="1:6" ht="12.75">
      <c r="A28">
        <f>ROUND(SUM(Falcon5!D$67:D69)/24,1)+A$26</f>
        <v>83.5</v>
      </c>
      <c r="B28" s="5">
        <f>Falcon5!K69</f>
        <v>4</v>
      </c>
      <c r="C28" s="5">
        <f>24/Falcon5!J69*B28</f>
        <v>6.791210282384105</v>
      </c>
      <c r="F28">
        <f>Falcon5!E69+F$3</f>
        <v>212.63</v>
      </c>
    </row>
    <row r="29" spans="1:6" ht="12.75">
      <c r="A29">
        <f>ROUND(SUM(Falcon5!D$67:D71)/24,1)+A$26</f>
        <v>86.30000000000001</v>
      </c>
      <c r="B29" s="5">
        <f>Falcon5!K71</f>
        <v>4</v>
      </c>
      <c r="C29" s="5">
        <f>24/Falcon5!J71*B29</f>
        <v>8.083159209536424</v>
      </c>
      <c r="F29">
        <f>Falcon5!E71+F$3</f>
        <v>232.63</v>
      </c>
    </row>
    <row r="30" spans="1:6" ht="12.75">
      <c r="A30">
        <f>ROUND(SUM(Falcon5!D$67:D73)/24,1)+A$26</f>
        <v>89.80000000000001</v>
      </c>
      <c r="B30" s="5">
        <f>Falcon5!K73</f>
        <v>4</v>
      </c>
      <c r="C30" s="5">
        <f>24/Falcon5!J73*B30</f>
        <v>10.150277492980132</v>
      </c>
      <c r="F30">
        <f>Falcon5!E73+F$3</f>
        <v>264.63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F6" sqref="F6"/>
    </sheetView>
  </sheetViews>
  <sheetFormatPr defaultColWidth="9.140625" defaultRowHeight="12.75"/>
  <sheetData>
    <row r="1" ht="12.75">
      <c r="A1" t="s">
        <v>140</v>
      </c>
    </row>
    <row r="3" spans="1:8" ht="12.75">
      <c r="A3" t="s">
        <v>141</v>
      </c>
      <c r="H3" t="s">
        <v>351</v>
      </c>
    </row>
    <row r="4" spans="1:9" ht="12.75">
      <c r="A4" t="s">
        <v>142</v>
      </c>
      <c r="H4" t="s">
        <v>352</v>
      </c>
      <c r="I4" t="s">
        <v>145</v>
      </c>
    </row>
    <row r="5" spans="1:10" ht="12.75">
      <c r="A5" t="s">
        <v>136</v>
      </c>
      <c r="B5" t="s">
        <v>143</v>
      </c>
      <c r="C5" t="s">
        <v>144</v>
      </c>
      <c r="D5" t="s">
        <v>145</v>
      </c>
      <c r="E5" t="s">
        <v>147</v>
      </c>
      <c r="F5" t="s">
        <v>146</v>
      </c>
      <c r="G5" t="s">
        <v>149</v>
      </c>
      <c r="H5">
        <v>20</v>
      </c>
      <c r="I5">
        <v>10</v>
      </c>
      <c r="J5" t="s">
        <v>107</v>
      </c>
    </row>
    <row r="6" spans="1:10" ht="12.75">
      <c r="A6">
        <v>6000</v>
      </c>
      <c r="B6">
        <v>10</v>
      </c>
      <c r="C6">
        <v>2163</v>
      </c>
      <c r="D6">
        <v>1051</v>
      </c>
      <c r="E6">
        <f>C6+D6</f>
        <v>3214</v>
      </c>
      <c r="F6" s="10">
        <f>E6/B6</f>
        <v>321.4</v>
      </c>
      <c r="G6">
        <f>F6/5</f>
        <v>64.28</v>
      </c>
      <c r="H6">
        <f>C6/H$5</f>
        <v>108.15</v>
      </c>
      <c r="I6">
        <f>D6/I$5</f>
        <v>105.1</v>
      </c>
      <c r="J6">
        <f>I6/B6</f>
        <v>10.51</v>
      </c>
    </row>
    <row r="7" spans="2:10" ht="12.75">
      <c r="B7">
        <v>20</v>
      </c>
      <c r="C7">
        <f>C6</f>
        <v>2163</v>
      </c>
      <c r="D7">
        <v>1787</v>
      </c>
      <c r="E7">
        <f>C7+D7</f>
        <v>3950</v>
      </c>
      <c r="F7" s="10">
        <f>E7/B7</f>
        <v>197.5</v>
      </c>
      <c r="G7">
        <f>F7/5</f>
        <v>39.5</v>
      </c>
      <c r="I7">
        <f>D7/I$5</f>
        <v>178.7</v>
      </c>
      <c r="J7">
        <f>I7/B7</f>
        <v>8.934999999999999</v>
      </c>
    </row>
    <row r="8" spans="1:6" ht="12.75">
      <c r="A8" t="s">
        <v>148</v>
      </c>
      <c r="F8" s="10"/>
    </row>
    <row r="9" spans="1:10" ht="12.75">
      <c r="A9">
        <v>6000</v>
      </c>
      <c r="B9">
        <v>10</v>
      </c>
      <c r="C9">
        <v>853</v>
      </c>
      <c r="D9">
        <v>313</v>
      </c>
      <c r="E9">
        <f>C9+D9</f>
        <v>1166</v>
      </c>
      <c r="F9" s="10">
        <f>E9/B9</f>
        <v>116.6</v>
      </c>
      <c r="G9">
        <f>F9/5</f>
        <v>23.32</v>
      </c>
      <c r="H9">
        <f>C9/H$5</f>
        <v>42.65</v>
      </c>
      <c r="I9">
        <f>D9/I$5</f>
        <v>31.3</v>
      </c>
      <c r="J9">
        <f>I9/B9</f>
        <v>3.13</v>
      </c>
    </row>
    <row r="10" spans="2:10" ht="12.75">
      <c r="B10">
        <v>20</v>
      </c>
      <c r="C10">
        <f>C9</f>
        <v>853</v>
      </c>
      <c r="D10">
        <v>532</v>
      </c>
      <c r="E10">
        <f>C10+D10</f>
        <v>1385</v>
      </c>
      <c r="F10" s="10">
        <f>E10/B10</f>
        <v>69.25</v>
      </c>
      <c r="G10">
        <f>F10/5</f>
        <v>13.85</v>
      </c>
      <c r="H10">
        <f>C10/H$5</f>
        <v>42.65</v>
      </c>
      <c r="I10">
        <f>D10/I$5</f>
        <v>53.2</v>
      </c>
      <c r="J10">
        <f>I10/B10</f>
        <v>2.66</v>
      </c>
    </row>
    <row r="11" ht="12.75">
      <c r="A11" t="s">
        <v>150</v>
      </c>
    </row>
    <row r="12" spans="1:10" ht="12.75">
      <c r="A12">
        <v>6000</v>
      </c>
      <c r="B12">
        <v>10</v>
      </c>
      <c r="C12">
        <v>411</v>
      </c>
      <c r="D12">
        <v>722</v>
      </c>
      <c r="H12">
        <f>C12/H$5</f>
        <v>20.55</v>
      </c>
      <c r="I12">
        <f>D12/I$5</f>
        <v>72.2</v>
      </c>
      <c r="J12">
        <f>I12/B12</f>
        <v>7.220000000000001</v>
      </c>
    </row>
    <row r="13" spans="2:10" ht="12.75">
      <c r="B13">
        <v>20</v>
      </c>
      <c r="C13">
        <f>C12</f>
        <v>411</v>
      </c>
      <c r="D13">
        <v>1228</v>
      </c>
      <c r="H13">
        <f>C13/H$5</f>
        <v>20.55</v>
      </c>
      <c r="I13">
        <f>D13/I$5</f>
        <v>122.8</v>
      </c>
      <c r="J13">
        <f>I13/B13</f>
        <v>6.14</v>
      </c>
    </row>
    <row r="15" ht="12.75">
      <c r="A15" t="s">
        <v>151</v>
      </c>
    </row>
    <row r="16" ht="12.75">
      <c r="A16" t="s">
        <v>152</v>
      </c>
    </row>
    <row r="17" spans="1:8" ht="12.75">
      <c r="A17" t="s">
        <v>153</v>
      </c>
      <c r="E17" t="s">
        <v>269</v>
      </c>
      <c r="F17" t="s">
        <v>270</v>
      </c>
      <c r="H17" t="s">
        <v>269</v>
      </c>
    </row>
    <row r="18" spans="1:8" ht="12.75">
      <c r="A18" t="s">
        <v>136</v>
      </c>
      <c r="C18" t="s">
        <v>144</v>
      </c>
      <c r="D18" t="s">
        <v>154</v>
      </c>
      <c r="E18" t="s">
        <v>155</v>
      </c>
      <c r="F18" t="s">
        <v>156</v>
      </c>
      <c r="H18" t="s">
        <v>271</v>
      </c>
    </row>
    <row r="19" spans="1:6" ht="12.75">
      <c r="A19">
        <v>60</v>
      </c>
      <c r="B19">
        <v>1</v>
      </c>
      <c r="C19">
        <v>7674</v>
      </c>
      <c r="D19">
        <v>828</v>
      </c>
      <c r="E19">
        <f>(C19+D19)/B19</f>
        <v>8502</v>
      </c>
      <c r="F19" s="10">
        <f>E19/5</f>
        <v>1700.4</v>
      </c>
    </row>
    <row r="20" spans="2:9" ht="12.75">
      <c r="B20">
        <v>10</v>
      </c>
      <c r="C20">
        <f>C19</f>
        <v>7674</v>
      </c>
      <c r="D20">
        <v>4826</v>
      </c>
      <c r="E20">
        <f>(C20+D20)/B20</f>
        <v>1250</v>
      </c>
      <c r="F20" s="10">
        <f aca="true" t="shared" si="0" ref="F20:F25">E20/5</f>
        <v>250</v>
      </c>
      <c r="H20" s="6">
        <f>(D20-D19)/(B20-B19)</f>
        <v>444.22222222222223</v>
      </c>
      <c r="I20" s="5">
        <f>H20/D19</f>
        <v>0.5365002683843264</v>
      </c>
    </row>
    <row r="21" spans="2:9" ht="12.75">
      <c r="B21">
        <v>20</v>
      </c>
      <c r="C21">
        <f>C20</f>
        <v>7674</v>
      </c>
      <c r="D21">
        <v>8204</v>
      </c>
      <c r="E21" s="10">
        <f>(C21+D21)/B21</f>
        <v>793.9</v>
      </c>
      <c r="F21" s="10">
        <f t="shared" si="0"/>
        <v>158.78</v>
      </c>
      <c r="H21" s="6">
        <f>(D21-D19)/(B21-B19)</f>
        <v>388.2105263157895</v>
      </c>
      <c r="I21" s="5">
        <f>H21/D19</f>
        <v>0.46885329265191966</v>
      </c>
    </row>
    <row r="22" ht="12.75">
      <c r="A22" t="s">
        <v>157</v>
      </c>
    </row>
    <row r="23" spans="1:6" ht="12.75">
      <c r="A23">
        <v>60</v>
      </c>
      <c r="B23">
        <v>1</v>
      </c>
      <c r="C23">
        <v>3027</v>
      </c>
      <c r="D23">
        <v>246</v>
      </c>
      <c r="E23" s="10">
        <f>(C23+D23)/B23</f>
        <v>3273</v>
      </c>
      <c r="F23" s="10">
        <f t="shared" si="0"/>
        <v>654.6</v>
      </c>
    </row>
    <row r="24" spans="2:9" ht="12.75">
      <c r="B24">
        <v>5</v>
      </c>
      <c r="C24">
        <f>C23</f>
        <v>3027</v>
      </c>
      <c r="D24">
        <v>845</v>
      </c>
      <c r="E24" s="10">
        <f>(C24+D24)/B24</f>
        <v>774.4</v>
      </c>
      <c r="F24" s="10">
        <f t="shared" si="0"/>
        <v>154.88</v>
      </c>
      <c r="H24" s="6">
        <f>(D24-D23)/(B24-B23)</f>
        <v>149.75</v>
      </c>
      <c r="I24" s="5">
        <f>H24/D23</f>
        <v>0.608739837398374</v>
      </c>
    </row>
    <row r="25" spans="2:9" ht="12.75">
      <c r="B25">
        <v>10</v>
      </c>
      <c r="C25">
        <f>C24</f>
        <v>3027</v>
      </c>
      <c r="D25">
        <v>1437</v>
      </c>
      <c r="E25" s="10">
        <f>(C25+D25)/B25</f>
        <v>446.4</v>
      </c>
      <c r="F25" s="10">
        <f t="shared" si="0"/>
        <v>89.28</v>
      </c>
      <c r="H25" s="6">
        <f>(D25-D23)/(B25-B23)</f>
        <v>132.33333333333334</v>
      </c>
      <c r="I25" s="5">
        <f>H25/D23</f>
        <v>0.537940379403794</v>
      </c>
    </row>
    <row r="26" spans="5:10" ht="12.75">
      <c r="E26" s="10"/>
      <c r="F26" s="10"/>
      <c r="I26" s="6"/>
      <c r="J26" s="5"/>
    </row>
    <row r="27" spans="5:10" ht="12.75">
      <c r="E27" s="10"/>
      <c r="F27" s="10"/>
      <c r="I27" s="6"/>
      <c r="J27" s="5"/>
    </row>
    <row r="28" spans="5:10" ht="12.75">
      <c r="E28" s="10"/>
      <c r="F28" s="10"/>
      <c r="I28" s="6"/>
      <c r="J28" s="5"/>
    </row>
    <row r="30" spans="1:5" ht="12.75">
      <c r="A30" t="s">
        <v>161</v>
      </c>
      <c r="D30" t="s">
        <v>158</v>
      </c>
      <c r="E30" t="s">
        <v>159</v>
      </c>
    </row>
    <row r="31" spans="1:5" ht="12.75">
      <c r="A31" t="s">
        <v>160</v>
      </c>
      <c r="D31">
        <v>9</v>
      </c>
      <c r="E31">
        <v>167</v>
      </c>
    </row>
    <row r="34" ht="12.75">
      <c r="A34" t="s">
        <v>278</v>
      </c>
    </row>
    <row r="35" ht="12.75">
      <c r="A35" t="s">
        <v>279</v>
      </c>
    </row>
    <row r="37" spans="1:3" ht="12.75">
      <c r="A37" t="s">
        <v>8</v>
      </c>
      <c r="B37" t="s">
        <v>280</v>
      </c>
      <c r="C37" t="s">
        <v>281</v>
      </c>
    </row>
    <row r="38" spans="1:3" ht="12.75">
      <c r="A38">
        <v>1.5</v>
      </c>
      <c r="B38">
        <v>1.5</v>
      </c>
      <c r="C38" s="2">
        <f>PI()*A38*A38*B38</f>
        <v>10.602875205865551</v>
      </c>
    </row>
    <row r="39" spans="1:3" ht="12.75">
      <c r="A39">
        <v>1.35</v>
      </c>
      <c r="B39">
        <v>2</v>
      </c>
      <c r="C39" s="2">
        <f>PI()*A39*A39*B39</f>
        <v>11.451105222334796</v>
      </c>
    </row>
    <row r="40" ht="12.75">
      <c r="C40" t="s">
        <v>282</v>
      </c>
    </row>
    <row r="41" spans="1:3" ht="12.75">
      <c r="A41">
        <v>4</v>
      </c>
      <c r="B41">
        <v>2</v>
      </c>
      <c r="C41">
        <v>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F10" sqref="F10"/>
    </sheetView>
  </sheetViews>
  <sheetFormatPr defaultColWidth="9.140625" defaultRowHeight="12.75"/>
  <cols>
    <col min="8" max="10" width="8.140625" style="0" customWidth="1"/>
  </cols>
  <sheetData>
    <row r="1" spans="1:9" ht="12.75">
      <c r="A1" t="s">
        <v>177</v>
      </c>
      <c r="F1">
        <v>0.00017</v>
      </c>
      <c r="G1" t="s">
        <v>178</v>
      </c>
      <c r="I1" s="1">
        <v>37600</v>
      </c>
    </row>
    <row r="2" spans="2:7" ht="12.75">
      <c r="B2" t="s">
        <v>0</v>
      </c>
      <c r="C2">
        <v>6378.39</v>
      </c>
      <c r="F2">
        <v>983.008</v>
      </c>
      <c r="G2" t="s">
        <v>13</v>
      </c>
    </row>
    <row r="3" spans="2:7" ht="12.75">
      <c r="B3" t="s">
        <v>179</v>
      </c>
      <c r="C3" s="28">
        <f>C2*C2</f>
        <v>40683858.99210001</v>
      </c>
      <c r="F3">
        <v>398580</v>
      </c>
      <c r="G3" t="s">
        <v>1</v>
      </c>
    </row>
    <row r="4" spans="3:7" ht="12.75">
      <c r="C4" t="s">
        <v>285</v>
      </c>
      <c r="D4" s="2">
        <f>0.47*0.8</f>
        <v>0.376</v>
      </c>
      <c r="F4" s="2">
        <f>SQRT(F3)</f>
        <v>631.3319253768179</v>
      </c>
      <c r="G4" t="s">
        <v>3</v>
      </c>
    </row>
    <row r="5" spans="1:7" ht="12.75">
      <c r="A5" s="9"/>
      <c r="E5" s="2"/>
      <c r="F5" s="2"/>
      <c r="G5" s="6"/>
    </row>
    <row r="6" spans="1:10" ht="12.75">
      <c r="A6" t="s">
        <v>5</v>
      </c>
      <c r="B6" t="s">
        <v>4</v>
      </c>
      <c r="C6" t="s">
        <v>180</v>
      </c>
      <c r="D6" t="s">
        <v>181</v>
      </c>
      <c r="E6" t="s">
        <v>182</v>
      </c>
      <c r="F6" t="s">
        <v>183</v>
      </c>
      <c r="G6" t="s">
        <v>184</v>
      </c>
      <c r="H6" t="s">
        <v>185</v>
      </c>
      <c r="I6" t="s">
        <v>186</v>
      </c>
      <c r="J6" t="s">
        <v>187</v>
      </c>
    </row>
    <row r="7" spans="1:10" ht="12.75">
      <c r="A7" s="10">
        <v>100</v>
      </c>
      <c r="B7" s="10">
        <v>100</v>
      </c>
      <c r="C7">
        <f>ROUND(C$2+A7,0)</f>
        <v>6478</v>
      </c>
      <c r="D7" s="2">
        <f>F$4/SQRT(C7)*SQRT(1+G7)</f>
        <v>7.843994483661356</v>
      </c>
      <c r="E7">
        <f>ROUND(C$2+B7,0)</f>
        <v>6478</v>
      </c>
      <c r="F7" s="2">
        <f>F$4/SQRT(E7)*SQRT(1-G7)</f>
        <v>7.843994483661356</v>
      </c>
      <c r="G7" s="29">
        <f>(E7-C7)/(C7+E7)</f>
        <v>0</v>
      </c>
      <c r="H7" s="10">
        <f>(C7+E7)/2</f>
        <v>6478</v>
      </c>
      <c r="I7" s="6">
        <f>2*PI()*H7*SQRT(H7)/F$4/60</f>
        <v>86.48330580524706</v>
      </c>
      <c r="J7" s="5">
        <f aca="true" t="shared" si="0" ref="J7:J18">D7*D7-2*F$3/C7</f>
        <v>-61.52824945970979</v>
      </c>
    </row>
    <row r="8" spans="1:10" ht="12.75">
      <c r="A8" s="10">
        <v>0</v>
      </c>
      <c r="B8" s="10">
        <v>100</v>
      </c>
      <c r="C8">
        <f>ROUND(C$2+A8,0)</f>
        <v>6378</v>
      </c>
      <c r="D8" s="2">
        <f>F$4/SQRT(C8)*SQRT(1+G8)</f>
        <v>7.93593371573385</v>
      </c>
      <c r="E8">
        <f>ROUND(C$2+B8,0)</f>
        <v>6478</v>
      </c>
      <c r="F8" s="2">
        <f>F$4/SQRT(E8)*SQRT(1-G8)</f>
        <v>7.8134277923665465</v>
      </c>
      <c r="G8" s="29">
        <f>(E8-C8)/(C8+E8)</f>
        <v>0.007778469197261979</v>
      </c>
      <c r="H8" s="10">
        <f>(C8+E8)/2</f>
        <v>6428</v>
      </c>
      <c r="I8" s="6">
        <f>2*PI()*H8*SQRT(H8)/F$4/60</f>
        <v>85.48396714010492</v>
      </c>
      <c r="J8" s="5">
        <f t="shared" si="0"/>
        <v>-62.00684505289358</v>
      </c>
    </row>
    <row r="9" spans="1:11" ht="12.75">
      <c r="A9" s="10">
        <v>-3912</v>
      </c>
      <c r="B9" s="10">
        <v>100</v>
      </c>
      <c r="C9">
        <f>ROUND(C$2+A9,0)</f>
        <v>2466</v>
      </c>
      <c r="D9" s="2">
        <f>F$4/SQRT(C9)*SQRT(1+G9)</f>
        <v>15.301386657942452</v>
      </c>
      <c r="E9">
        <f>ROUND(C$2+B9,0)</f>
        <v>6478</v>
      </c>
      <c r="F9" s="2">
        <f>F$4/SQRT(E9)*SQRT(1-G9)</f>
        <v>5.82482548602749</v>
      </c>
      <c r="G9" s="29">
        <f>(E9-C9)/(C9+E9)</f>
        <v>0.44856887298747766</v>
      </c>
      <c r="H9" s="10">
        <f>(C9+E9)/2</f>
        <v>4472</v>
      </c>
      <c r="I9" s="6">
        <f>2*PI()*H9*SQRT(H9)/F$4/60</f>
        <v>49.60478354380213</v>
      </c>
      <c r="J9" s="5">
        <f t="shared" si="0"/>
        <v>-89.12790697674413</v>
      </c>
      <c r="K9" s="2">
        <v>5.825</v>
      </c>
    </row>
    <row r="10" spans="1:11" ht="12.75">
      <c r="A10" s="2">
        <f>1.15*(D10-D$4)</f>
        <v>6.453976493995006</v>
      </c>
      <c r="B10" s="32" t="s">
        <v>286</v>
      </c>
      <c r="C10" s="9">
        <f>C$8</f>
        <v>6378</v>
      </c>
      <c r="D10" s="38">
        <f>F$4*SQRT(2/C10-1/$H9)</f>
        <v>5.988153473039136</v>
      </c>
      <c r="E10">
        <f>E$9</f>
        <v>6478</v>
      </c>
      <c r="F10" s="2">
        <f>F$4*SQRT(2/E10-1/$H9)</f>
        <v>5.824825486027491</v>
      </c>
      <c r="G10" s="29"/>
      <c r="H10" s="10"/>
      <c r="I10" s="6"/>
      <c r="J10" s="5">
        <f t="shared" si="0"/>
        <v>-89.12790697674419</v>
      </c>
      <c r="K10" s="2"/>
    </row>
    <row r="11" spans="1:11" ht="12.75">
      <c r="A11" s="10">
        <v>-4256</v>
      </c>
      <c r="B11" s="10">
        <v>100</v>
      </c>
      <c r="C11">
        <f>ROUND(C$2+A11,0)</f>
        <v>2122</v>
      </c>
      <c r="D11" s="2">
        <f>F$4/SQRT(C11)*SQRT(1+G11)</f>
        <v>16.821755087614733</v>
      </c>
      <c r="E11">
        <f>ROUND(C$2+B11,0)</f>
        <v>6478</v>
      </c>
      <c r="F11" s="2">
        <f>F$4/SQRT(E11)*SQRT(1-G11)</f>
        <v>5.510306313046999</v>
      </c>
      <c r="G11" s="29">
        <f>(E11-C11)/(C11+E11)</f>
        <v>0.5065116279069768</v>
      </c>
      <c r="H11" s="10">
        <f>(C11+E11)/2</f>
        <v>4300</v>
      </c>
      <c r="I11" s="6">
        <f>2*PI()*H11*SQRT(H11)/F$4/60</f>
        <v>46.770665543157044</v>
      </c>
      <c r="J11" s="5">
        <f t="shared" si="0"/>
        <v>-92.69302325581401</v>
      </c>
      <c r="K11" s="2">
        <v>5.51</v>
      </c>
    </row>
    <row r="12" spans="1:11" ht="12.75">
      <c r="A12" s="2">
        <f>1.15*(D12-D$4)</f>
        <v>6.102683391815072</v>
      </c>
      <c r="B12" s="32" t="s">
        <v>287</v>
      </c>
      <c r="C12" s="9">
        <f>C$8</f>
        <v>6378</v>
      </c>
      <c r="D12" s="38">
        <f>F$4*SQRT(2/C12-1/$H11)</f>
        <v>5.6826812102739765</v>
      </c>
      <c r="E12">
        <f>E$9</f>
        <v>6478</v>
      </c>
      <c r="F12" s="2">
        <f>F$4*SQRT(2/E12-1/$H11)</f>
        <v>5.510306313046999</v>
      </c>
      <c r="G12" s="29"/>
      <c r="H12" s="10"/>
      <c r="I12" s="6"/>
      <c r="J12" s="5">
        <f t="shared" si="0"/>
        <v>-92.69302325581396</v>
      </c>
      <c r="K12" s="2"/>
    </row>
    <row r="13" spans="1:11" ht="12.75">
      <c r="A13" s="10">
        <v>-4526</v>
      </c>
      <c r="B13" s="10">
        <v>100</v>
      </c>
      <c r="C13">
        <f>ROUND(C$2+A13,0)</f>
        <v>1852</v>
      </c>
      <c r="D13" s="2">
        <f>F$4/SQRT(C13)*SQRT(1+G13)</f>
        <v>18.295750502539324</v>
      </c>
      <c r="E13">
        <f>ROUND(C$2+B13,0)</f>
        <v>6478</v>
      </c>
      <c r="F13" s="2">
        <f>F$4/SQRT(E13)*SQRT(1-G13)</f>
        <v>5.230585046419084</v>
      </c>
      <c r="G13" s="29">
        <f>(E13-C13)/(C13+E13)</f>
        <v>0.5553421368547419</v>
      </c>
      <c r="H13" s="10">
        <f>(C13+E13)/2</f>
        <v>4165</v>
      </c>
      <c r="I13" s="6">
        <f>2*PI()*H13*SQRT(H13)/F$4/60</f>
        <v>44.585472672975456</v>
      </c>
      <c r="J13" s="5">
        <f t="shared" si="0"/>
        <v>-95.69747899159665</v>
      </c>
      <c r="K13" s="2">
        <v>5.23</v>
      </c>
    </row>
    <row r="14" spans="1:11" ht="12.75">
      <c r="A14" s="2">
        <f>1.15*(D14-D$4)</f>
        <v>5.79125826724159</v>
      </c>
      <c r="B14" s="32" t="s">
        <v>288</v>
      </c>
      <c r="C14" s="9">
        <f>C$8</f>
        <v>6378</v>
      </c>
      <c r="D14" s="38">
        <f>F$4*SQRT(2/C14-1/$H13)</f>
        <v>5.4118767541231225</v>
      </c>
      <c r="E14">
        <f>E$9</f>
        <v>6478</v>
      </c>
      <c r="F14" s="2">
        <f>F$4*SQRT(2/E14-1/$H13)</f>
        <v>5.230585046419084</v>
      </c>
      <c r="G14" s="29"/>
      <c r="H14" s="10"/>
      <c r="I14" s="6"/>
      <c r="J14" s="5">
        <f t="shared" si="0"/>
        <v>-95.69747899159664</v>
      </c>
      <c r="K14" s="2"/>
    </row>
    <row r="15" spans="1:11" ht="12.75">
      <c r="A15" s="10">
        <v>-4725</v>
      </c>
      <c r="B15" s="10">
        <v>100</v>
      </c>
      <c r="C15">
        <f>ROUND(C$2+A15,0)</f>
        <v>1653</v>
      </c>
      <c r="D15" s="2">
        <f>F$4/SQRT(C15)*SQRT(1+G15)</f>
        <v>19.601297206957515</v>
      </c>
      <c r="E15">
        <f>ROUND(C$2+B15,0)</f>
        <v>6478</v>
      </c>
      <c r="F15" s="2">
        <f>F$4/SQRT(E15)*SQRT(1-G15)</f>
        <v>5.001689454013704</v>
      </c>
      <c r="G15" s="29">
        <f>(E15-C15)/(C15+E15)</f>
        <v>0.593407944902226</v>
      </c>
      <c r="H15" s="10">
        <f>(C15+E15)/2</f>
        <v>4065.5</v>
      </c>
      <c r="I15" s="6">
        <f>2*PI()*H15*SQRT(H15)/F$4/60</f>
        <v>42.99736233284155</v>
      </c>
      <c r="J15" s="5">
        <f t="shared" si="0"/>
        <v>-98.0396015250277</v>
      </c>
      <c r="K15" s="2">
        <v>5</v>
      </c>
    </row>
    <row r="16" spans="1:10" ht="12.75">
      <c r="A16" s="2">
        <f>1.15*(D16-D$4)</f>
        <v>5.537228562728341</v>
      </c>
      <c r="B16" s="32" t="s">
        <v>289</v>
      </c>
      <c r="C16" s="9">
        <f>C$8</f>
        <v>6378</v>
      </c>
      <c r="D16" s="38">
        <f>F$4*SQRT(2/C16-1/$H15)</f>
        <v>5.19098135889421</v>
      </c>
      <c r="E16">
        <f>E$9</f>
        <v>6478</v>
      </c>
      <c r="F16" s="2">
        <f>F$4*SQRT(2/E16-1/$H15)</f>
        <v>5.001689454013703</v>
      </c>
      <c r="G16" s="29"/>
      <c r="H16" s="10"/>
      <c r="I16" s="6"/>
      <c r="J16" s="5">
        <f t="shared" si="0"/>
        <v>-98.03960152502768</v>
      </c>
    </row>
    <row r="17" spans="1:10" ht="12.75">
      <c r="A17" s="10">
        <v>-4500</v>
      </c>
      <c r="B17" s="10">
        <v>100</v>
      </c>
      <c r="C17">
        <f>ROUND(C$2+A17,0)</f>
        <v>1878</v>
      </c>
      <c r="D17" s="2">
        <f>F$4/SQRT(C17)*SQRT(1+G17)</f>
        <v>18.14037294735817</v>
      </c>
      <c r="E17">
        <f>ROUND(C$2+B17,0)</f>
        <v>6478</v>
      </c>
      <c r="F17" s="2">
        <f>F$4/SQRT(E17)*SQRT(1-G17)</f>
        <v>5.258971965905934</v>
      </c>
      <c r="G17" s="29">
        <f>(E17-C17)/(C17+E17)</f>
        <v>0.5505026328386788</v>
      </c>
      <c r="H17" s="10">
        <f>(C17+E17)/2</f>
        <v>4178</v>
      </c>
      <c r="I17" s="6">
        <f>2*PI()*H17*SQRT(H17)/F$4/60</f>
        <v>44.794378982945126</v>
      </c>
      <c r="J17" s="5">
        <f t="shared" si="0"/>
        <v>-95.39971278123511</v>
      </c>
    </row>
    <row r="18" spans="1:10" ht="12.75">
      <c r="A18" s="2">
        <f>1.15*(D18-D$4)</f>
        <v>5.822815267327561</v>
      </c>
      <c r="B18" s="32" t="s">
        <v>232</v>
      </c>
      <c r="C18" s="9">
        <f>C$8</f>
        <v>6378</v>
      </c>
      <c r="D18" s="38">
        <f>F$4*SQRT(2/C18-1/$H17)</f>
        <v>5.439317623763097</v>
      </c>
      <c r="E18">
        <f>E$9</f>
        <v>6478</v>
      </c>
      <c r="F18" s="2">
        <f>F$4*SQRT(2/E18-1/$H17)</f>
        <v>5.258971965905935</v>
      </c>
      <c r="G18" s="29"/>
      <c r="H18" s="10"/>
      <c r="I18" s="6"/>
      <c r="J18" s="5">
        <f t="shared" si="0"/>
        <v>-95.39971278123504</v>
      </c>
    </row>
    <row r="21" ht="12.75">
      <c r="A21" t="s">
        <v>326</v>
      </c>
    </row>
    <row r="22" ht="12.75">
      <c r="A22" t="s">
        <v>327</v>
      </c>
    </row>
    <row r="23" ht="12.75">
      <c r="A23" t="s">
        <v>328</v>
      </c>
    </row>
    <row r="24" ht="12.75">
      <c r="A24" t="s">
        <v>329</v>
      </c>
    </row>
    <row r="25" ht="12.75">
      <c r="A25" t="s">
        <v>330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84"/>
  <sheetViews>
    <sheetView workbookViewId="0" topLeftCell="A5">
      <selection activeCell="F27" sqref="F27"/>
    </sheetView>
  </sheetViews>
  <sheetFormatPr defaultColWidth="9.140625" defaultRowHeight="12.75"/>
  <cols>
    <col min="2" max="2" width="12.421875" style="0" bestFit="1" customWidth="1"/>
    <col min="10" max="10" width="9.421875" style="0" customWidth="1"/>
  </cols>
  <sheetData>
    <row r="1" spans="1:12" ht="12.75">
      <c r="A1" t="s">
        <v>177</v>
      </c>
      <c r="F1">
        <v>0.00017</v>
      </c>
      <c r="G1" t="s">
        <v>178</v>
      </c>
      <c r="I1" s="1">
        <v>37600</v>
      </c>
      <c r="K1">
        <v>500</v>
      </c>
      <c r="L1" t="s">
        <v>196</v>
      </c>
    </row>
    <row r="2" spans="2:12" ht="12.75">
      <c r="B2" t="s">
        <v>0</v>
      </c>
      <c r="C2">
        <v>6378.39</v>
      </c>
      <c r="F2">
        <v>983.008</v>
      </c>
      <c r="G2" t="s">
        <v>13</v>
      </c>
      <c r="K2">
        <v>63</v>
      </c>
      <c r="L2" t="s">
        <v>197</v>
      </c>
    </row>
    <row r="3" spans="2:12" ht="12.75">
      <c r="B3" t="s">
        <v>179</v>
      </c>
      <c r="C3" s="28">
        <f>C2*C2</f>
        <v>40683858.99210001</v>
      </c>
      <c r="F3">
        <v>398580</v>
      </c>
      <c r="G3" t="s">
        <v>1</v>
      </c>
      <c r="K3">
        <v>150</v>
      </c>
      <c r="L3" t="s">
        <v>119</v>
      </c>
    </row>
    <row r="4" spans="6:12" ht="12.75">
      <c r="F4" s="2">
        <f>SQRT(F3)</f>
        <v>631.3319253768179</v>
      </c>
      <c r="G4" t="s">
        <v>3</v>
      </c>
      <c r="K4">
        <f>K1+K3-K2</f>
        <v>587</v>
      </c>
      <c r="L4" t="s">
        <v>198</v>
      </c>
    </row>
    <row r="5" spans="1:12" ht="12.75">
      <c r="A5" s="9"/>
      <c r="E5" s="2"/>
      <c r="F5" s="2"/>
      <c r="G5" s="6"/>
      <c r="K5">
        <f>K1-K2+K4</f>
        <v>1024</v>
      </c>
      <c r="L5" t="s">
        <v>199</v>
      </c>
    </row>
    <row r="6" spans="1:11" ht="12.75">
      <c r="A6" t="s">
        <v>5</v>
      </c>
      <c r="B6" t="s">
        <v>4</v>
      </c>
      <c r="C6" t="s">
        <v>180</v>
      </c>
      <c r="D6" t="s">
        <v>181</v>
      </c>
      <c r="E6" t="s">
        <v>182</v>
      </c>
      <c r="F6" t="s">
        <v>183</v>
      </c>
      <c r="G6" t="s">
        <v>184</v>
      </c>
      <c r="H6" t="s">
        <v>185</v>
      </c>
      <c r="I6" t="s">
        <v>186</v>
      </c>
      <c r="J6" t="s">
        <v>187</v>
      </c>
      <c r="K6" t="s">
        <v>188</v>
      </c>
    </row>
    <row r="7" spans="1:11" ht="12.75">
      <c r="A7" s="10">
        <v>35785</v>
      </c>
      <c r="B7" s="10">
        <v>35785</v>
      </c>
      <c r="C7">
        <f>ROUND(C$2+A7,0)</f>
        <v>42163</v>
      </c>
      <c r="D7" s="2">
        <f>F$4/SQRT(C7)*SQRT(1-G7)</f>
        <v>3.074623903133549</v>
      </c>
      <c r="E7">
        <f>ROUND(C$2+B7,0)</f>
        <v>42163</v>
      </c>
      <c r="F7" s="2">
        <f>F$4/SQRT(E7)*SQRT(1+G7)</f>
        <v>3.074623903133549</v>
      </c>
      <c r="G7" s="29">
        <f>(C7-E7)/(C7+E7)</f>
        <v>0</v>
      </c>
      <c r="H7" s="10">
        <f>(C7+E7)/2</f>
        <v>42163</v>
      </c>
      <c r="I7" s="6">
        <f>2*PI()*H7*SQRT(H7)/F$4/60</f>
        <v>1436.0452446266017</v>
      </c>
      <c r="J7" s="5">
        <f>D7*D7-2*F$3/C7</f>
        <v>-9.453312145720181</v>
      </c>
      <c r="K7" t="s">
        <v>189</v>
      </c>
    </row>
    <row r="8" spans="1:11" ht="12.75">
      <c r="A8" s="10">
        <v>930</v>
      </c>
      <c r="B8">
        <v>35785</v>
      </c>
      <c r="C8">
        <f>ROUND(C$2+A8,0)</f>
        <v>7308</v>
      </c>
      <c r="D8" s="2">
        <f>F$4/SQRT(C8)*SQRT(1+G8)</f>
        <v>9.641928075155699</v>
      </c>
      <c r="E8">
        <f>ROUND(C$2+B8,0)</f>
        <v>42163</v>
      </c>
      <c r="F8" s="2">
        <f>F$4/SQRT(E8)*SQRT(1-G8)</f>
        <v>1.671209600200124</v>
      </c>
      <c r="G8" s="29">
        <f>(E8-C8)/(C8+E8)</f>
        <v>0.704554183258879</v>
      </c>
      <c r="H8" s="10">
        <f>(C8+E8)/2</f>
        <v>24735.5</v>
      </c>
      <c r="I8" s="6">
        <f>2*PI()*H8*SQRT(H8)/F$4/60</f>
        <v>645.2855008494021</v>
      </c>
      <c r="J8" s="5">
        <f>D8*D8-2*F$3/C8</f>
        <v>-16.11368276363926</v>
      </c>
      <c r="K8" t="s">
        <v>118</v>
      </c>
    </row>
    <row r="9" spans="1:10" ht="12.75">
      <c r="A9" s="10"/>
      <c r="D9" s="2"/>
      <c r="F9" s="2">
        <f>F7-F8</f>
        <v>1.4034143029334252</v>
      </c>
      <c r="G9" s="29" t="s">
        <v>190</v>
      </c>
      <c r="H9" s="10"/>
      <c r="I9" s="6"/>
      <c r="J9" s="5"/>
    </row>
    <row r="10" spans="1:11" ht="12.75">
      <c r="A10" s="10">
        <v>150</v>
      </c>
      <c r="B10">
        <v>35785</v>
      </c>
      <c r="C10">
        <f aca="true" t="shared" si="0" ref="C10:C17">ROUND(C$2+A10,0)</f>
        <v>6528</v>
      </c>
      <c r="D10" s="2">
        <f>F$4/SQRT(C10)*SQRT(1+G10)</f>
        <v>10.283100529280155</v>
      </c>
      <c r="E10">
        <f>ROUND(C$2+B10,0)</f>
        <v>42163</v>
      </c>
      <c r="F10" s="2">
        <f>F$4/SQRT(E10)*SQRT(1-G10)</f>
        <v>1.5921087269677403</v>
      </c>
      <c r="G10" s="29">
        <f>(E10-C10)/(C10+E10)</f>
        <v>0.731860097348586</v>
      </c>
      <c r="H10" s="10">
        <f>(C10+E10)/2</f>
        <v>24345.5</v>
      </c>
      <c r="I10" s="6">
        <f>2*PI()*H10*SQRT(H10)/F$4/60</f>
        <v>630.0846711462167</v>
      </c>
      <c r="J10" s="5">
        <f aca="true" t="shared" si="1" ref="J10:J17">D10*D10-2*F$3/C10</f>
        <v>-16.371814092953485</v>
      </c>
      <c r="K10" t="s">
        <v>118</v>
      </c>
    </row>
    <row r="11" spans="1:11" ht="12.75">
      <c r="A11" s="10">
        <v>930</v>
      </c>
      <c r="C11">
        <f t="shared" si="0"/>
        <v>7308</v>
      </c>
      <c r="D11" s="2">
        <v>10.87</v>
      </c>
      <c r="J11" s="5">
        <f t="shared" si="1"/>
        <v>9.076440229885037</v>
      </c>
      <c r="K11" s="2">
        <f>SQRT(J11)</f>
        <v>3.0127131011573334</v>
      </c>
    </row>
    <row r="12" spans="1:11" ht="12.75">
      <c r="A12" s="10">
        <v>930</v>
      </c>
      <c r="C12">
        <f t="shared" si="0"/>
        <v>7308</v>
      </c>
      <c r="D12" s="2">
        <f>SQRT(2)*D13</f>
        <v>11.04988535534142</v>
      </c>
      <c r="E12" t="s">
        <v>191</v>
      </c>
      <c r="J12" s="5">
        <f t="shared" si="1"/>
        <v>13.019506596073839</v>
      </c>
      <c r="K12" s="2">
        <f>SQRT(J12)</f>
        <v>3.60825533964461</v>
      </c>
    </row>
    <row r="13" spans="1:12" ht="12.75">
      <c r="A13" s="10">
        <v>200</v>
      </c>
      <c r="B13" s="10">
        <v>300</v>
      </c>
      <c r="C13">
        <f t="shared" si="0"/>
        <v>6578</v>
      </c>
      <c r="D13" s="2">
        <f aca="true" t="shared" si="2" ref="D13:D18">F$4/SQRT(C13)*SQRT(1+G13)</f>
        <v>7.8134488660958406</v>
      </c>
      <c r="E13">
        <f aca="true" t="shared" si="3" ref="E13:E18">ROUND(C$2+B13,0)</f>
        <v>6678</v>
      </c>
      <c r="F13" s="2">
        <f aca="true" t="shared" si="4" ref="F13:F18">F$4/SQRT(E13)*SQRT(1-G13)</f>
        <v>7.696446037912314</v>
      </c>
      <c r="G13" s="29">
        <f aca="true" t="shared" si="5" ref="G13:G18">(E13-C13)/(C13+E13)</f>
        <v>0.007543753771876886</v>
      </c>
      <c r="H13" s="10">
        <f aca="true" t="shared" si="6" ref="H13:H18">(C13+E13)/2</f>
        <v>6628</v>
      </c>
      <c r="I13" s="6">
        <f aca="true" t="shared" si="7" ref="I13:I18">2*PI()*H13*SQRT(H13)/F$4/60</f>
        <v>89.50444752503059</v>
      </c>
      <c r="J13" s="5">
        <f t="shared" si="1"/>
        <v>-60.135787567893765</v>
      </c>
      <c r="K13" s="2" t="str">
        <f>IF(J13&gt;0,SQRT(D11*D11-L13*L13),"~hyp")</f>
        <v>~hyp</v>
      </c>
      <c r="L13">
        <f>SQRT(2)*D13</f>
        <v>11.04988535534142</v>
      </c>
    </row>
    <row r="14" spans="1:10" ht="12.75">
      <c r="A14" s="10">
        <v>930</v>
      </c>
      <c r="B14">
        <v>90000</v>
      </c>
      <c r="C14">
        <f t="shared" si="0"/>
        <v>7308</v>
      </c>
      <c r="D14" s="2">
        <f t="shared" si="2"/>
        <v>10.069371742189862</v>
      </c>
      <c r="E14">
        <f t="shared" si="3"/>
        <v>96378</v>
      </c>
      <c r="F14" s="2">
        <f t="shared" si="4"/>
        <v>0.7635245459744289</v>
      </c>
      <c r="G14" s="29">
        <f t="shared" si="5"/>
        <v>0.8590359354204039</v>
      </c>
      <c r="H14" s="10">
        <f t="shared" si="6"/>
        <v>51843</v>
      </c>
      <c r="I14" s="6">
        <f t="shared" si="7"/>
        <v>1957.9700932200196</v>
      </c>
      <c r="J14" s="5">
        <f t="shared" si="1"/>
        <v>-7.688212487703254</v>
      </c>
    </row>
    <row r="15" spans="1:10" ht="12.75">
      <c r="A15" s="10">
        <v>930</v>
      </c>
      <c r="B15">
        <v>150000</v>
      </c>
      <c r="C15">
        <f t="shared" si="0"/>
        <v>7308</v>
      </c>
      <c r="D15" s="2">
        <f t="shared" si="2"/>
        <v>10.208349704390361</v>
      </c>
      <c r="E15">
        <f t="shared" si="3"/>
        <v>156378</v>
      </c>
      <c r="F15" s="2">
        <f t="shared" si="4"/>
        <v>0.4770659532650676</v>
      </c>
      <c r="G15" s="29">
        <f t="shared" si="5"/>
        <v>0.9107070855173931</v>
      </c>
      <c r="H15" s="10">
        <f t="shared" si="6"/>
        <v>81843</v>
      </c>
      <c r="I15" s="6">
        <f t="shared" si="7"/>
        <v>3883.677661185184</v>
      </c>
      <c r="J15" s="5">
        <f t="shared" si="1"/>
        <v>-4.870056082988171</v>
      </c>
    </row>
    <row r="16" spans="1:10" ht="12.75">
      <c r="A16" s="10">
        <v>930</v>
      </c>
      <c r="B16">
        <v>300000</v>
      </c>
      <c r="C16">
        <f t="shared" si="0"/>
        <v>7308</v>
      </c>
      <c r="D16" s="2">
        <f t="shared" si="2"/>
        <v>10.321782423016057</v>
      </c>
      <c r="E16">
        <f t="shared" si="3"/>
        <v>306378</v>
      </c>
      <c r="F16" s="2">
        <f t="shared" si="4"/>
        <v>0.24620431606512666</v>
      </c>
      <c r="G16" s="29">
        <f t="shared" si="5"/>
        <v>0.9534056349342973</v>
      </c>
      <c r="H16" s="10">
        <f t="shared" si="6"/>
        <v>156843</v>
      </c>
      <c r="I16" s="6">
        <f t="shared" si="7"/>
        <v>10303.115716669825</v>
      </c>
      <c r="J16" s="5">
        <f t="shared" si="1"/>
        <v>-2.5412673820317195</v>
      </c>
    </row>
    <row r="17" spans="1:12" ht="12.75">
      <c r="A17" s="10">
        <v>150</v>
      </c>
      <c r="B17" s="10">
        <v>760</v>
      </c>
      <c r="C17">
        <f t="shared" si="0"/>
        <v>6528</v>
      </c>
      <c r="D17" s="2">
        <f t="shared" si="2"/>
        <v>7.986384955363907</v>
      </c>
      <c r="E17">
        <f t="shared" si="3"/>
        <v>7138</v>
      </c>
      <c r="F17" s="2">
        <f t="shared" si="4"/>
        <v>7.303883579240066</v>
      </c>
      <c r="G17" s="29">
        <f t="shared" si="5"/>
        <v>0.04463632372310845</v>
      </c>
      <c r="H17" s="10">
        <f t="shared" si="6"/>
        <v>6833</v>
      </c>
      <c r="I17" s="6">
        <f t="shared" si="7"/>
        <v>93.6888693045275</v>
      </c>
      <c r="J17" s="5">
        <f t="shared" si="1"/>
        <v>-58.33162593297233</v>
      </c>
      <c r="K17" s="2">
        <f>D17-F17</f>
        <v>0.6825013761238417</v>
      </c>
      <c r="L17" t="s">
        <v>200</v>
      </c>
    </row>
    <row r="18" spans="1:12" ht="12.75">
      <c r="A18" s="10">
        <v>150</v>
      </c>
      <c r="B18" s="10">
        <v>650</v>
      </c>
      <c r="C18">
        <f>ROUND(C$2+A18,0)</f>
        <v>6528</v>
      </c>
      <c r="D18" s="2">
        <f t="shared" si="2"/>
        <v>7.956696134308369</v>
      </c>
      <c r="E18">
        <f t="shared" si="3"/>
        <v>7028</v>
      </c>
      <c r="F18" s="2">
        <f t="shared" si="4"/>
        <v>7.390624980757687</v>
      </c>
      <c r="G18" s="29">
        <f t="shared" si="5"/>
        <v>0.036884036588964296</v>
      </c>
      <c r="H18" s="10">
        <f t="shared" si="6"/>
        <v>6778</v>
      </c>
      <c r="I18" s="6">
        <f t="shared" si="7"/>
        <v>92.55997173298076</v>
      </c>
      <c r="J18" s="5">
        <f>D18*D18-2*F$3/C18</f>
        <v>-58.80495721451755</v>
      </c>
      <c r="K18" s="2">
        <f>D18-F18</f>
        <v>0.5660711535506815</v>
      </c>
      <c r="L18" t="s">
        <v>201</v>
      </c>
    </row>
    <row r="20" spans="1:11" ht="12.75">
      <c r="A20" s="10">
        <v>35785</v>
      </c>
      <c r="B20" s="10">
        <v>35785</v>
      </c>
      <c r="C20">
        <f>ROUND(C$2+A20,0)</f>
        <v>42163</v>
      </c>
      <c r="D20" s="2">
        <f>F$4/SQRT(C20)*SQRT(1+G20)</f>
        <v>3.074623903133549</v>
      </c>
      <c r="E20">
        <f>ROUND(C$2+B20,0)</f>
        <v>42163</v>
      </c>
      <c r="F20" s="2">
        <f>F$4/SQRT(E20)*SQRT(1-G20)</f>
        <v>3.074623903133549</v>
      </c>
      <c r="G20" s="29">
        <f>(E20-C20)/(C20+E20)</f>
        <v>0</v>
      </c>
      <c r="H20" s="10">
        <f>(C20+E20)/2</f>
        <v>42163</v>
      </c>
      <c r="I20" s="6">
        <f>2*PI()*H20*SQRT(H20)/F$4/60</f>
        <v>1436.0452446266017</v>
      </c>
      <c r="J20" s="5">
        <f>D20*D20-2*F$3/C20</f>
        <v>-9.453312145720181</v>
      </c>
      <c r="K20" t="s">
        <v>189</v>
      </c>
    </row>
    <row r="21" spans="1:11" ht="12.75">
      <c r="A21" s="10">
        <v>35785</v>
      </c>
      <c r="C21">
        <f>ROUND(C$2+A21,0)</f>
        <v>42163</v>
      </c>
      <c r="D21" s="2">
        <v>4.35</v>
      </c>
      <c r="J21" s="5">
        <f>D21*D21-2*F$3/C21</f>
        <v>0.015875708559633495</v>
      </c>
      <c r="K21" s="2">
        <f>SQRT(J21)</f>
        <v>0.12599884348530146</v>
      </c>
    </row>
    <row r="22" spans="1:11" ht="12.75">
      <c r="A22" s="10">
        <v>35785</v>
      </c>
      <c r="C22">
        <f>ROUND(C$2+A22,0)</f>
        <v>42163</v>
      </c>
      <c r="D22" s="2">
        <v>5.3</v>
      </c>
      <c r="J22" s="5">
        <f>D22*D22-2*F$3/C22</f>
        <v>9.183375708559637</v>
      </c>
      <c r="K22" s="2">
        <f>SQRT(J22)</f>
        <v>3.030408505228237</v>
      </c>
    </row>
    <row r="23" spans="1:11" ht="12.75">
      <c r="A23" s="10"/>
      <c r="B23" s="10"/>
      <c r="D23" s="2"/>
      <c r="F23" s="2"/>
      <c r="G23" s="29"/>
      <c r="H23" s="10"/>
      <c r="I23" s="6"/>
      <c r="J23" s="5"/>
      <c r="K23" s="2"/>
    </row>
    <row r="24" spans="1:11" ht="12.75">
      <c r="A24" s="10" t="s">
        <v>192</v>
      </c>
      <c r="B24" s="10"/>
      <c r="D24" s="2"/>
      <c r="F24" s="2"/>
      <c r="G24" s="29"/>
      <c r="H24" s="10"/>
      <c r="I24" s="6"/>
      <c r="J24" s="5"/>
      <c r="K24" s="2"/>
    </row>
    <row r="25" spans="1:10" ht="12.75">
      <c r="A25" t="s">
        <v>5</v>
      </c>
      <c r="B25" t="s">
        <v>4</v>
      </c>
      <c r="C25" t="s">
        <v>180</v>
      </c>
      <c r="D25" t="s">
        <v>181</v>
      </c>
      <c r="E25" t="s">
        <v>182</v>
      </c>
      <c r="F25" t="s">
        <v>183</v>
      </c>
      <c r="G25" t="s">
        <v>184</v>
      </c>
      <c r="H25" t="s">
        <v>185</v>
      </c>
      <c r="I25" t="s">
        <v>186</v>
      </c>
      <c r="J25" t="s">
        <v>187</v>
      </c>
    </row>
    <row r="26" spans="1:10" ht="12.75">
      <c r="A26" s="10">
        <v>100</v>
      </c>
      <c r="B26" s="10">
        <v>100</v>
      </c>
      <c r="C26">
        <f>ROUND(C$2+A26,0)</f>
        <v>6478</v>
      </c>
      <c r="D26" s="2">
        <f>F$4/SQRT(C26)*SQRT(1+G26)</f>
        <v>7.843994483661356</v>
      </c>
      <c r="E26">
        <f>ROUND(C$2+B26,0)</f>
        <v>6478</v>
      </c>
      <c r="F26" s="2">
        <f>F$4/SQRT(E26)*SQRT(1-G26)</f>
        <v>7.843994483661356</v>
      </c>
      <c r="G26" s="29">
        <f>(E26-C26)/(C26+E26)</f>
        <v>0</v>
      </c>
      <c r="H26" s="10">
        <f>(C26+E26)/2</f>
        <v>6478</v>
      </c>
      <c r="I26" s="6">
        <f>2*PI()*H26*SQRT(H26)/F$4/60</f>
        <v>86.48330580524706</v>
      </c>
      <c r="J26" s="5">
        <f>D26*D26-2*F$3/C26</f>
        <v>-61.52824945970979</v>
      </c>
    </row>
    <row r="27" spans="1:10" ht="12.75">
      <c r="A27" s="10">
        <v>0</v>
      </c>
      <c r="B27" s="10">
        <v>100</v>
      </c>
      <c r="C27">
        <f>ROUND(C$2+A27,0)</f>
        <v>6378</v>
      </c>
      <c r="D27" s="2">
        <f>F$4/SQRT(C27)*SQRT(1+G27)</f>
        <v>7.93593371573385</v>
      </c>
      <c r="E27">
        <f>ROUND(C$2+B27,0)</f>
        <v>6478</v>
      </c>
      <c r="F27" s="2">
        <f>F$4/SQRT(E27)*SQRT(1-G27)</f>
        <v>7.8134277923665465</v>
      </c>
      <c r="G27" s="29">
        <f>(E27-C27)/(C27+E27)</f>
        <v>0.007778469197261979</v>
      </c>
      <c r="H27" s="10">
        <f>(C27+E27)/2</f>
        <v>6428</v>
      </c>
      <c r="I27" s="6">
        <f>2*PI()*H27*SQRT(H27)/F$4/60</f>
        <v>85.48396714010492</v>
      </c>
      <c r="J27" s="5">
        <f>D27*D27-2*F$3/C27</f>
        <v>-62.00684505289358</v>
      </c>
    </row>
    <row r="28" spans="1:10" ht="12.75">
      <c r="A28" s="10">
        <v>-4725</v>
      </c>
      <c r="B28" s="10">
        <v>100</v>
      </c>
      <c r="C28">
        <f>ROUND(C$2+A28,0)</f>
        <v>1653</v>
      </c>
      <c r="D28" s="2">
        <f>F$4/SQRT(C28)*SQRT(1+G28)</f>
        <v>19.601297206957515</v>
      </c>
      <c r="E28">
        <f>ROUND(C$2+B28,0)</f>
        <v>6478</v>
      </c>
      <c r="F28" s="2">
        <f>F$4/SQRT(E28)*SQRT(1-G28)</f>
        <v>5.001689454013704</v>
      </c>
      <c r="G28" s="29">
        <f>(E28-C28)/(C28+E28)</f>
        <v>0.593407944902226</v>
      </c>
      <c r="H28" s="10">
        <f>(C28+E28)/2</f>
        <v>4065.5</v>
      </c>
      <c r="I28" s="6">
        <f>2*PI()*H28*SQRT(H28)/F$4/60</f>
        <v>42.99736233284155</v>
      </c>
      <c r="J28" s="5">
        <f>D28*D28-2*F$3/C28</f>
        <v>-98.0396015250277</v>
      </c>
    </row>
    <row r="29" spans="1:10" ht="12.75">
      <c r="A29">
        <v>0</v>
      </c>
      <c r="B29" s="32" t="s">
        <v>232</v>
      </c>
      <c r="C29" s="9">
        <f>ROUND(C$2+A29,0)</f>
        <v>6378</v>
      </c>
      <c r="D29" s="38">
        <f>F$4*SQRT(2/C29-1/$H28)</f>
        <v>5.19098135889421</v>
      </c>
      <c r="E29">
        <f>E28</f>
        <v>6478</v>
      </c>
      <c r="F29" s="2">
        <f>F$4*SQRT(2/E29-1/$H28)</f>
        <v>5.001689454013703</v>
      </c>
      <c r="G29" s="29"/>
      <c r="H29" s="10"/>
      <c r="I29" s="6"/>
      <c r="J29" s="5">
        <f>D29*D29-2*F$3/C29</f>
        <v>-98.03960152502768</v>
      </c>
    </row>
    <row r="30" spans="1:10" ht="12.75">
      <c r="A30" s="10"/>
      <c r="B30" s="10"/>
      <c r="C30" t="s">
        <v>233</v>
      </c>
      <c r="D30" s="2">
        <f>D29-D$36</f>
        <v>4.7209813588942104</v>
      </c>
      <c r="F30" s="2">
        <f>1.15*D30</f>
        <v>5.429128562728342</v>
      </c>
      <c r="G30" s="29">
        <f>1.15*D29</f>
        <v>5.969628562728341</v>
      </c>
      <c r="H30" s="10"/>
      <c r="I30" s="6"/>
      <c r="J30" s="5"/>
    </row>
    <row r="31" spans="1:10" ht="12.75">
      <c r="A31" s="10">
        <v>150</v>
      </c>
      <c r="B31" s="10">
        <v>150</v>
      </c>
      <c r="C31">
        <f>ROUND(C$2+A31,0)</f>
        <v>6528</v>
      </c>
      <c r="D31" s="2">
        <f>F$4/SQRT(C31)*SQRT(1+G31)</f>
        <v>7.813896933932368</v>
      </c>
      <c r="E31">
        <f>ROUND(C$2+B31,0)</f>
        <v>6528</v>
      </c>
      <c r="F31" s="2">
        <f>F$4/SQRT(E31)*SQRT(1-G31)</f>
        <v>7.813896933932368</v>
      </c>
      <c r="G31" s="29">
        <f>(E31-C31)/(C31+E31)</f>
        <v>0</v>
      </c>
      <c r="H31" s="10">
        <f>(C31+E31)/2</f>
        <v>6528</v>
      </c>
      <c r="I31" s="6">
        <f>2*PI()*H31*SQRT(H31)/F$4/60</f>
        <v>87.4865086142248</v>
      </c>
      <c r="J31" s="5">
        <f>D31*D31-2*F$3/C31</f>
        <v>-61.05698529411764</v>
      </c>
    </row>
    <row r="32" spans="1:10" ht="12.75">
      <c r="A32" s="10">
        <v>0</v>
      </c>
      <c r="B32" s="10">
        <v>150</v>
      </c>
      <c r="C32">
        <f>ROUND(C$2+A32,0)</f>
        <v>6378</v>
      </c>
      <c r="D32" s="2">
        <f>F$4/SQRT(C32)*SQRT(1+G32)</f>
        <v>7.9510545726182045</v>
      </c>
      <c r="E32">
        <f>ROUND(C$2+B32,0)</f>
        <v>6528</v>
      </c>
      <c r="F32" s="2">
        <f>F$4/SQRT(E32)*SQRT(1-G32)</f>
        <v>7.768355708357675</v>
      </c>
      <c r="G32" s="29">
        <f>(E32-C32)/(C32+E32)</f>
        <v>0.011622501162250116</v>
      </c>
      <c r="H32" s="10">
        <f>(C32+E32)/2</f>
        <v>6453</v>
      </c>
      <c r="I32" s="6">
        <f>2*PI()*H32*SQRT(H32)/F$4/60</f>
        <v>85.9831525213028</v>
      </c>
      <c r="J32" s="5">
        <f>D32*D32-2*F$3/C32</f>
        <v>-61.766620176662</v>
      </c>
    </row>
    <row r="33" spans="1:10" ht="12.75">
      <c r="A33" s="10">
        <v>-4697</v>
      </c>
      <c r="B33" s="10">
        <v>150</v>
      </c>
      <c r="C33">
        <f>ROUND(C$2+A33,0)</f>
        <v>1681</v>
      </c>
      <c r="D33" s="2">
        <f>F$4/SQRT(C33)*SQRT(1+G33)</f>
        <v>19.419311918943773</v>
      </c>
      <c r="E33">
        <f>ROUND(C$2+B33,0)</f>
        <v>6528</v>
      </c>
      <c r="F33" s="2">
        <f>F$4/SQRT(E33)*SQRT(1-G33)</f>
        <v>5.000591810009878</v>
      </c>
      <c r="G33" s="29">
        <f>(E33-C33)/(C33+E33)</f>
        <v>0.5904495066390547</v>
      </c>
      <c r="H33" s="10">
        <f>(C33+E33)/2</f>
        <v>4104.5</v>
      </c>
      <c r="I33" s="6">
        <f>2*PI()*H33*SQRT(H33)/F$4/60</f>
        <v>43.61754889324439</v>
      </c>
      <c r="J33" s="5">
        <f>D33*D33-2*F$3/C33</f>
        <v>-97.1080521378974</v>
      </c>
    </row>
    <row r="34" spans="1:10" ht="12.75">
      <c r="A34">
        <v>0</v>
      </c>
      <c r="B34" s="32" t="s">
        <v>232</v>
      </c>
      <c r="C34" s="9">
        <f>ROUND(C$2+A34,0)</f>
        <v>6378</v>
      </c>
      <c r="D34" s="38">
        <f>F$4*SQRT(2/C34-1/$H33)</f>
        <v>5.27994667165469</v>
      </c>
      <c r="E34">
        <f>E33</f>
        <v>6528</v>
      </c>
      <c r="F34" s="2">
        <f>F$4*SQRT(2/E34-1/$H33)</f>
        <v>5.000591810009878</v>
      </c>
      <c r="G34" s="29"/>
      <c r="H34" s="10"/>
      <c r="I34" s="6"/>
      <c r="J34" s="5">
        <f>D34*D34-2*F$3/C34</f>
        <v>-97.10805213789743</v>
      </c>
    </row>
    <row r="35" spans="2:10" ht="12.75">
      <c r="B35" s="10"/>
      <c r="C35" t="s">
        <v>233</v>
      </c>
      <c r="D35" s="2">
        <f>D34-D$36</f>
        <v>4.80994667165469</v>
      </c>
      <c r="F35" s="2">
        <f>1.15*D35</f>
        <v>5.531438672402893</v>
      </c>
      <c r="G35" s="29"/>
      <c r="H35" s="10"/>
      <c r="I35" s="6"/>
      <c r="J35" s="5"/>
    </row>
    <row r="36" spans="1:10" ht="12.75">
      <c r="A36" s="10">
        <v>0</v>
      </c>
      <c r="C36">
        <f>ROUND(C$2+A36,0)</f>
        <v>6378</v>
      </c>
      <c r="D36" s="2">
        <v>0.47</v>
      </c>
      <c r="J36" s="5">
        <f>D36*D36-2*F$3/C36</f>
        <v>-124.76498899341486</v>
      </c>
    </row>
    <row r="37" spans="1:10" ht="12.75">
      <c r="A37" s="10"/>
      <c r="D37" s="2"/>
      <c r="J37" s="5"/>
    </row>
    <row r="38" spans="1:10" ht="12.75">
      <c r="A38" s="10"/>
      <c r="D38" s="2"/>
      <c r="J38" s="5"/>
    </row>
    <row r="39" spans="1:10" ht="12.75">
      <c r="A39" s="10"/>
      <c r="D39" s="2"/>
      <c r="J39" s="5"/>
    </row>
    <row r="40" spans="1:10" ht="12.75">
      <c r="A40" s="10"/>
      <c r="D40" s="2"/>
      <c r="J40" s="5"/>
    </row>
    <row r="41" ht="12.75">
      <c r="A41" t="s">
        <v>193</v>
      </c>
    </row>
    <row r="42" spans="1:10" ht="12.75">
      <c r="A42" t="s">
        <v>5</v>
      </c>
      <c r="B42" t="s">
        <v>4</v>
      </c>
      <c r="C42" t="s">
        <v>180</v>
      </c>
      <c r="D42" t="s">
        <v>181</v>
      </c>
      <c r="E42" t="s">
        <v>182</v>
      </c>
      <c r="F42" t="s">
        <v>183</v>
      </c>
      <c r="G42" t="s">
        <v>184</v>
      </c>
      <c r="H42" t="s">
        <v>185</v>
      </c>
      <c r="I42" t="s">
        <v>186</v>
      </c>
      <c r="J42" t="s">
        <v>187</v>
      </c>
    </row>
    <row r="43" spans="1:10" ht="12.75">
      <c r="A43" s="10">
        <v>500</v>
      </c>
      <c r="B43" s="10">
        <v>8000</v>
      </c>
      <c r="C43">
        <f>ROUND(C$2+A43,0)</f>
        <v>6878</v>
      </c>
      <c r="D43" s="2">
        <f>F$4/SQRT(C43)*SQRT(1+G43)</f>
        <v>8.854216407417127</v>
      </c>
      <c r="E43">
        <f>ROUND(C$2+B43,0)</f>
        <v>14378</v>
      </c>
      <c r="F43" s="2">
        <f>F$4/SQRT(E43)*SQRT(1-G43)</f>
        <v>4.235589125762623</v>
      </c>
      <c r="G43" s="29">
        <f>(E43-C43)/(C43+E43)</f>
        <v>0.35284155062100114</v>
      </c>
      <c r="H43" s="10">
        <f>(C43+E43)/2</f>
        <v>10628</v>
      </c>
      <c r="I43" s="6">
        <f>2*PI()*H43*SQRT(H43)/F$4/60</f>
        <v>181.73902138651692</v>
      </c>
      <c r="J43" s="5">
        <f>D43*D43-2*F$3/C43</f>
        <v>-37.50282273240494</v>
      </c>
    </row>
    <row r="44" spans="1:12" ht="12.75">
      <c r="A44" s="10">
        <v>150</v>
      </c>
      <c r="C44">
        <f>ROUND(C$2+A44,0)</f>
        <v>6528</v>
      </c>
      <c r="D44" s="2">
        <v>5</v>
      </c>
      <c r="J44" s="5">
        <f>D44*D44-2*F$3/C44</f>
        <v>-97.11397058823529</v>
      </c>
      <c r="K44" s="5">
        <f>J36-J44</f>
        <v>-27.65101840517957</v>
      </c>
      <c r="L44" t="s">
        <v>194</v>
      </c>
    </row>
    <row r="45" spans="1:11" ht="12.75">
      <c r="A45" s="10">
        <v>930</v>
      </c>
      <c r="C45">
        <f>ROUND(C$2+A45,0)</f>
        <v>7308</v>
      </c>
      <c r="D45" s="2">
        <v>10.87</v>
      </c>
      <c r="J45" s="5">
        <f>D45*D45-2*F$3/C45</f>
        <v>9.076440229885037</v>
      </c>
      <c r="K45" s="2">
        <f>SQRT(J45)</f>
        <v>3.0127131011573334</v>
      </c>
    </row>
    <row r="46" spans="8:10" ht="12.75">
      <c r="H46" t="s">
        <v>195</v>
      </c>
      <c r="J46" s="5">
        <f>J45-J44</f>
        <v>106.19041081812033</v>
      </c>
    </row>
    <row r="47" spans="1:10" ht="12.75">
      <c r="A47">
        <v>-5651</v>
      </c>
      <c r="B47">
        <v>-5086</v>
      </c>
      <c r="D47" s="6">
        <f>SQRT(A47*A47+B47*B47)</f>
        <v>7602.709845837864</v>
      </c>
      <c r="H47" t="s">
        <v>64</v>
      </c>
      <c r="J47" s="5">
        <f>J46/2</f>
        <v>53.09520540906016</v>
      </c>
    </row>
    <row r="48" spans="1:10" ht="12.75">
      <c r="A48" t="s">
        <v>5</v>
      </c>
      <c r="B48" t="s">
        <v>4</v>
      </c>
      <c r="C48" t="s">
        <v>180</v>
      </c>
      <c r="D48" t="s">
        <v>181</v>
      </c>
      <c r="E48" t="s">
        <v>182</v>
      </c>
      <c r="F48" t="s">
        <v>183</v>
      </c>
      <c r="G48" t="s">
        <v>184</v>
      </c>
      <c r="H48" t="s">
        <v>185</v>
      </c>
      <c r="I48" t="s">
        <v>186</v>
      </c>
      <c r="J48" t="s">
        <v>187</v>
      </c>
    </row>
    <row r="49" spans="1:10" ht="12.75">
      <c r="A49" s="10">
        <v>979.5</v>
      </c>
      <c r="B49" s="10">
        <v>176500</v>
      </c>
      <c r="C49">
        <f>ROUND(C$2+A49,0)</f>
        <v>7358</v>
      </c>
      <c r="D49" s="29">
        <f>F$4/SQRT(C49)*SQRT(1+G49)</f>
        <v>10.205334318538966</v>
      </c>
      <c r="E49">
        <f>ROUND(C$2+B49,0)</f>
        <v>182878</v>
      </c>
      <c r="F49" s="2">
        <f>F$4/SQRT(E49)*SQRT(1-G49)</f>
        <v>0.4106062507016138</v>
      </c>
      <c r="G49" s="29">
        <f>(E49-C49)/(C49+E49)</f>
        <v>0.9226434533947308</v>
      </c>
      <c r="H49" s="10">
        <f>(C49+E49)/2</f>
        <v>95118</v>
      </c>
      <c r="I49" s="6">
        <f>2*PI()*H49*SQRT(H49)/F$4/60</f>
        <v>4865.919631408914</v>
      </c>
      <c r="J49" s="5">
        <f>D49*D49-2*F$3/C49</f>
        <v>-4.190374061691799</v>
      </c>
    </row>
    <row r="50" spans="4:10" ht="12.75">
      <c r="D50" s="6">
        <f>2*D47-5000</f>
        <v>10205.419691675728</v>
      </c>
      <c r="J50" s="5"/>
    </row>
    <row r="51" spans="1:10" ht="12.75">
      <c r="A51" s="10">
        <v>400</v>
      </c>
      <c r="B51" s="10">
        <v>400</v>
      </c>
      <c r="C51">
        <f>ROUND(C$2+A51,0)</f>
        <v>6778</v>
      </c>
      <c r="D51" s="2">
        <f>F$4/SQRT(C51)*SQRT(1+G51)</f>
        <v>7.668439033761535</v>
      </c>
      <c r="E51">
        <f>ROUND(C$2+B51,0)</f>
        <v>6778</v>
      </c>
      <c r="F51" s="2">
        <f>F$4/SQRT(E51)*SQRT(1-G51)</f>
        <v>7.668439033761535</v>
      </c>
      <c r="G51" s="29">
        <f>(E51-C51)/(C51+E51)</f>
        <v>0</v>
      </c>
      <c r="H51" s="10">
        <f>(C51+E51)/2</f>
        <v>6778</v>
      </c>
      <c r="I51" s="6">
        <f>2*PI()*H51*SQRT(H51)/F$4/60</f>
        <v>92.55997173298076</v>
      </c>
      <c r="J51" s="5">
        <f>D51*D51-2*F$3/C51</f>
        <v>-58.80495721451757</v>
      </c>
    </row>
    <row r="52" spans="4:10" ht="12.75">
      <c r="D52" s="6">
        <f>D51-5</f>
        <v>2.668439033761535</v>
      </c>
      <c r="F52" s="2">
        <f>D51+D52</f>
        <v>10.33687806752307</v>
      </c>
      <c r="J52" s="5"/>
    </row>
    <row r="54" ht="12.75">
      <c r="A54" t="s">
        <v>206</v>
      </c>
    </row>
    <row r="55" spans="1:4" ht="12.75">
      <c r="A55" t="s">
        <v>207</v>
      </c>
      <c r="B55">
        <v>2020</v>
      </c>
      <c r="D55" t="s">
        <v>208</v>
      </c>
    </row>
    <row r="56" ht="12.75">
      <c r="D56" t="s">
        <v>217</v>
      </c>
    </row>
    <row r="57" spans="1:9" ht="12.75">
      <c r="A57" t="s">
        <v>209</v>
      </c>
      <c r="B57" t="s">
        <v>136</v>
      </c>
      <c r="C57" t="s">
        <v>210</v>
      </c>
      <c r="D57" t="s">
        <v>211</v>
      </c>
      <c r="E57" t="s">
        <v>212</v>
      </c>
      <c r="F57" t="s">
        <v>216</v>
      </c>
      <c r="G57" t="s">
        <v>213</v>
      </c>
      <c r="H57" t="s">
        <v>214</v>
      </c>
      <c r="I57" t="s">
        <v>215</v>
      </c>
    </row>
    <row r="58" spans="1:9" ht="12.75">
      <c r="A58">
        <v>0.512</v>
      </c>
      <c r="B58">
        <f>2.2/(60*60*24)</f>
        <v>2.5462962962962965E-05</v>
      </c>
      <c r="C58">
        <v>2020</v>
      </c>
      <c r="D58">
        <f>C58*F$2/100</f>
        <v>19856.7616</v>
      </c>
      <c r="E58">
        <f>B58*D58</f>
        <v>0.5056119851851852</v>
      </c>
      <c r="F58">
        <v>2.2</v>
      </c>
      <c r="G58" s="10">
        <f>B58*D58*D58/2</f>
        <v>5019.908325962478</v>
      </c>
      <c r="H58">
        <v>8000</v>
      </c>
      <c r="I58" s="29">
        <f>G58/H58</f>
        <v>0.6274885407453097</v>
      </c>
    </row>
    <row r="59" spans="1:9" ht="12.75">
      <c r="A59">
        <v>0.512</v>
      </c>
      <c r="B59" s="30">
        <f>F59/(60*60*24)</f>
        <v>2.578703703703704E-05</v>
      </c>
      <c r="C59">
        <v>2020</v>
      </c>
      <c r="D59">
        <f>C59*F$2/100</f>
        <v>19856.7616</v>
      </c>
      <c r="E59">
        <f>B59*D59</f>
        <v>0.5120470468148149</v>
      </c>
      <c r="F59">
        <v>2.228</v>
      </c>
      <c r="G59" s="10">
        <f>B59*D59*D59/2</f>
        <v>5083.79806829291</v>
      </c>
      <c r="H59">
        <v>8000</v>
      </c>
      <c r="I59" s="29">
        <f>G59/H59</f>
        <v>0.6354747585366137</v>
      </c>
    </row>
    <row r="61" ht="12.75">
      <c r="A61" t="s">
        <v>220</v>
      </c>
    </row>
    <row r="62" spans="1:2" ht="12.75">
      <c r="A62" t="s">
        <v>136</v>
      </c>
      <c r="B62" t="s">
        <v>221</v>
      </c>
    </row>
    <row r="63" spans="1:3" ht="12.75">
      <c r="A63">
        <v>3340</v>
      </c>
      <c r="B63">
        <v>3660</v>
      </c>
      <c r="C63">
        <f>A63*B63</f>
        <v>12224400</v>
      </c>
    </row>
    <row r="64" spans="1:3" ht="12.75">
      <c r="A64" s="10">
        <f>C63/B64</f>
        <v>615.6290862655067</v>
      </c>
      <c r="B64" s="10">
        <f>D59</f>
        <v>19856.7616</v>
      </c>
      <c r="C64">
        <f>A64*B64</f>
        <v>12224400.000000002</v>
      </c>
    </row>
    <row r="67" ht="12.75">
      <c r="A67" t="s">
        <v>234</v>
      </c>
    </row>
    <row r="68" spans="1:10" ht="12.75">
      <c r="A68" s="10">
        <v>200</v>
      </c>
      <c r="B68" s="10">
        <v>200</v>
      </c>
      <c r="C68">
        <f>ROUND(C$2+A68,0)</f>
        <v>6578</v>
      </c>
      <c r="D68" s="2">
        <f>F$4/SQRT(C68)*SQRT(1+G68)</f>
        <v>7.784143201116875</v>
      </c>
      <c r="E68">
        <f>ROUND(C$2+B68,0)</f>
        <v>6578</v>
      </c>
      <c r="F68" s="2">
        <f>F$4/SQRT(E68)*SQRT(1-G68)</f>
        <v>7.784143201116875</v>
      </c>
      <c r="G68" s="29">
        <f>(E68-C68)/(C68+E68)</f>
        <v>0</v>
      </c>
      <c r="H68" s="10">
        <f>(C68+E68)/2</f>
        <v>6578</v>
      </c>
      <c r="I68" s="6">
        <f>2*PI()*H68*SQRT(H68)/F$4/60</f>
        <v>88.49356074002927</v>
      </c>
      <c r="J68" s="5">
        <f>D68*D68-2*F$3/C68</f>
        <v>-60.59288537549406</v>
      </c>
    </row>
    <row r="69" spans="1:10" ht="12.75">
      <c r="A69" s="10">
        <v>0</v>
      </c>
      <c r="B69" s="10">
        <f>A68</f>
        <v>200</v>
      </c>
      <c r="C69">
        <f>ROUND(C$2+A69,0)</f>
        <v>6378</v>
      </c>
      <c r="D69" s="2">
        <f>F$4/SQRT(C69)*SQRT(1+G69)</f>
        <v>7.966030349785587</v>
      </c>
      <c r="E69">
        <f>ROUND(C$2+B69,0)</f>
        <v>6578</v>
      </c>
      <c r="F69" s="2">
        <f>F$4/SQRT(E69)*SQRT(1-G69)</f>
        <v>7.723828150035342</v>
      </c>
      <c r="G69" s="29">
        <f>(E69-C69)/(C69+E69)</f>
        <v>0.015436863229391787</v>
      </c>
      <c r="H69" s="10">
        <f>(C69+E69)/2</f>
        <v>6478</v>
      </c>
      <c r="I69" s="6">
        <f>2*PI()*H69*SQRT(H69)/F$4/60</f>
        <v>86.48330580524706</v>
      </c>
      <c r="J69" s="5">
        <f>D69*D69-2*F$3/C69</f>
        <v>-61.52824945970978</v>
      </c>
    </row>
    <row r="70" spans="1:10" ht="12.75">
      <c r="A70" s="10"/>
      <c r="B70" s="38">
        <f>1.15*D70</f>
        <v>9.23029721099719</v>
      </c>
      <c r="D70" s="2">
        <f>D69+F70</f>
        <v>8.026345400867122</v>
      </c>
      <c r="F70" s="2">
        <f>F68-F69</f>
        <v>0.06031505108153379</v>
      </c>
      <c r="G70" s="29"/>
      <c r="H70" s="10"/>
      <c r="I70" s="6"/>
      <c r="J70" s="5"/>
    </row>
    <row r="71" spans="1:10" ht="12.75">
      <c r="A71" s="10">
        <v>500</v>
      </c>
      <c r="B71" s="10">
        <f>A71</f>
        <v>500</v>
      </c>
      <c r="C71">
        <f>ROUND(C$2+A71,0)</f>
        <v>6878</v>
      </c>
      <c r="D71" s="2">
        <f>F$4/SQRT(C71)*SQRT(1+G71)</f>
        <v>7.612488782316189</v>
      </c>
      <c r="E71">
        <f>ROUND(C$2+B71,0)</f>
        <v>6878</v>
      </c>
      <c r="F71" s="2">
        <f>F$4/SQRT(E71)*SQRT(1-G71)</f>
        <v>7.612488782316189</v>
      </c>
      <c r="G71" s="29">
        <f>(E71-C71)/(C71+E71)</f>
        <v>0</v>
      </c>
      <c r="H71" s="10">
        <f>(C71+E71)/2</f>
        <v>6878</v>
      </c>
      <c r="I71" s="6">
        <f>2*PI()*H71*SQRT(H71)/F$4/60</f>
        <v>94.61589978118451</v>
      </c>
      <c r="J71" s="5">
        <f>D71*D71-2*F$3/C71</f>
        <v>-57.94998546088978</v>
      </c>
    </row>
    <row r="72" spans="1:10" ht="12.75">
      <c r="A72" s="10">
        <v>0</v>
      </c>
      <c r="B72" s="10">
        <f>A71</f>
        <v>500</v>
      </c>
      <c r="C72">
        <f>ROUND(C$2+A72,0)</f>
        <v>6378</v>
      </c>
      <c r="D72" s="2">
        <f>F$4/SQRT(C72)*SQRT(1+G72)</f>
        <v>8.052956067527072</v>
      </c>
      <c r="E72">
        <f>ROUND(C$2+B72,0)</f>
        <v>6878</v>
      </c>
      <c r="F72" s="2">
        <f>F$4/SQRT(E72)*SQRT(1-G72)</f>
        <v>7.467541988759476</v>
      </c>
      <c r="G72" s="29">
        <f>(E72-C72)/(C72+E72)</f>
        <v>0.03771876885938443</v>
      </c>
      <c r="H72" s="10">
        <f>(C72+E72)/2</f>
        <v>6628</v>
      </c>
      <c r="I72" s="6">
        <f>2*PI()*H72*SQRT(H72)/F$4/60</f>
        <v>89.50444752503059</v>
      </c>
      <c r="J72" s="5">
        <f>D72*D72-2*F$3/C72</f>
        <v>-60.13578756789377</v>
      </c>
    </row>
    <row r="73" spans="1:10" ht="12.75">
      <c r="A73" s="10"/>
      <c r="B73" s="38">
        <f>1.15*D73</f>
        <v>9.427588290246351</v>
      </c>
      <c r="D73" s="2">
        <f>D72+F73</f>
        <v>8.197902861083785</v>
      </c>
      <c r="F73" s="2">
        <f>F71-F72</f>
        <v>0.1449467935567128</v>
      </c>
      <c r="G73" s="29"/>
      <c r="H73" s="10"/>
      <c r="I73" s="6"/>
      <c r="J73" s="5"/>
    </row>
    <row r="74" spans="1:10" ht="12.75">
      <c r="A74" s="10">
        <v>0</v>
      </c>
      <c r="C74">
        <f>ROUND(C$2+A74,0)</f>
        <v>6378</v>
      </c>
      <c r="D74" s="2">
        <v>0.47</v>
      </c>
      <c r="J74" s="5">
        <f>D74*D74-2*F$3/C74</f>
        <v>-124.76498899341486</v>
      </c>
    </row>
    <row r="75" ht="12.75">
      <c r="A75" t="s">
        <v>235</v>
      </c>
    </row>
    <row r="76" spans="1:10" ht="12.75">
      <c r="A76" s="10">
        <v>557</v>
      </c>
      <c r="B76" s="10">
        <f>A76</f>
        <v>557</v>
      </c>
      <c r="C76">
        <f>ROUND(C$2+A76,0)</f>
        <v>6935</v>
      </c>
      <c r="D76" s="2">
        <f>F$4/SQRT(C76)*SQRT(1+G76)</f>
        <v>7.581140033697196</v>
      </c>
      <c r="E76">
        <f>ROUND(C$2+B76,0)</f>
        <v>6935</v>
      </c>
      <c r="F76" s="2">
        <f>F$4/SQRT(E76)*SQRT(1-G76)</f>
        <v>7.581140033697196</v>
      </c>
      <c r="G76" s="29">
        <f>(E76-C76)/(C76+E76)</f>
        <v>0</v>
      </c>
      <c r="H76" s="10">
        <f>(C76+E76)/2</f>
        <v>6935</v>
      </c>
      <c r="I76" s="6">
        <f>2*PI()*H76*SQRT(H76)/F$4/60</f>
        <v>95.79449773079439</v>
      </c>
      <c r="J76" s="5">
        <f>D76*D76-2*F$3/C76</f>
        <v>-57.473684210526315</v>
      </c>
    </row>
    <row r="78" spans="1:2" ht="12.75">
      <c r="A78" t="s">
        <v>221</v>
      </c>
      <c r="B78" t="s">
        <v>277</v>
      </c>
    </row>
    <row r="79" spans="1:2" ht="12.75">
      <c r="A79">
        <v>9</v>
      </c>
      <c r="B79">
        <f>A79*A79</f>
        <v>81</v>
      </c>
    </row>
    <row r="80" spans="1:2" ht="12.75">
      <c r="A80">
        <v>8</v>
      </c>
      <c r="B80">
        <f>A80*A80</f>
        <v>64</v>
      </c>
    </row>
    <row r="81" spans="1:2" ht="12.75">
      <c r="A81">
        <v>7</v>
      </c>
      <c r="B81">
        <f>A81*A81</f>
        <v>49</v>
      </c>
    </row>
    <row r="82" spans="1:2" ht="12.75">
      <c r="A82">
        <v>6</v>
      </c>
      <c r="B82">
        <f>A82*A82</f>
        <v>36</v>
      </c>
    </row>
    <row r="83" spans="1:2" ht="12.75">
      <c r="A83">
        <v>5</v>
      </c>
      <c r="B83">
        <f>A83*A83</f>
        <v>25</v>
      </c>
    </row>
    <row r="84" spans="1:2" ht="12.75">
      <c r="A84" s="5">
        <f>SQRT(B84)</f>
        <v>6.363961030678928</v>
      </c>
      <c r="B84">
        <f>B79/2</f>
        <v>40.5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27">
      <selection activeCell="E46" sqref="E46"/>
    </sheetView>
  </sheetViews>
  <sheetFormatPr defaultColWidth="9.140625" defaultRowHeight="12.75"/>
  <cols>
    <col min="1" max="1" width="7.8515625" style="0" customWidth="1"/>
    <col min="2" max="2" width="10.57421875" style="0" customWidth="1"/>
    <col min="3" max="3" width="7.57421875" style="0" customWidth="1"/>
    <col min="4" max="4" width="9.421875" style="0" customWidth="1"/>
    <col min="7" max="7" width="7.7109375" style="0" customWidth="1"/>
    <col min="9" max="9" width="10.28125" style="0" customWidth="1"/>
  </cols>
  <sheetData>
    <row r="1" spans="1:6" ht="12.75">
      <c r="A1" t="s">
        <v>331</v>
      </c>
      <c r="F1" s="1">
        <v>37853</v>
      </c>
    </row>
    <row r="2" spans="10:11" ht="12.75">
      <c r="J2" s="5">
        <v>981.30133</v>
      </c>
      <c r="K2" t="s">
        <v>229</v>
      </c>
    </row>
    <row r="3" spans="4:11" ht="12.75">
      <c r="D3">
        <v>0.41</v>
      </c>
      <c r="E3" t="s">
        <v>222</v>
      </c>
      <c r="J3" s="5">
        <f>J2/100</f>
        <v>9.8130133</v>
      </c>
      <c r="K3" t="s">
        <v>230</v>
      </c>
    </row>
    <row r="4" ht="12.75">
      <c r="A4" t="s">
        <v>223</v>
      </c>
    </row>
    <row r="5" spans="1:8" ht="12.75">
      <c r="A5" t="s">
        <v>14</v>
      </c>
      <c r="B5" t="s">
        <v>15</v>
      </c>
      <c r="C5" s="9" t="s">
        <v>224</v>
      </c>
      <c r="D5" t="s">
        <v>225</v>
      </c>
      <c r="E5" t="s">
        <v>17</v>
      </c>
      <c r="G5" t="s">
        <v>226</v>
      </c>
      <c r="H5" t="s">
        <v>210</v>
      </c>
    </row>
    <row r="6" spans="1:8" ht="12.75">
      <c r="A6" s="10">
        <v>18182</v>
      </c>
      <c r="B6" s="10">
        <v>2000</v>
      </c>
      <c r="C6">
        <v>6.2973</v>
      </c>
      <c r="D6" s="31">
        <f aca="true" t="shared" si="0" ref="D6:D12">(A6+B6)*(EXP(C6*1000/(9.8*H6))-1)</f>
        <v>109095.785708256</v>
      </c>
      <c r="E6" s="10">
        <f aca="true" t="shared" si="1" ref="E6:E12">A6+B6+D6</f>
        <v>129277.785708256</v>
      </c>
      <c r="F6" t="s">
        <v>227</v>
      </c>
      <c r="G6" s="29">
        <f>D6/E6</f>
        <v>0.8438865587816831</v>
      </c>
      <c r="H6">
        <v>346</v>
      </c>
    </row>
    <row r="7" spans="1:8" ht="12.75">
      <c r="A7" s="10">
        <v>2500</v>
      </c>
      <c r="B7" s="10">
        <v>159.5</v>
      </c>
      <c r="C7">
        <v>1.4</v>
      </c>
      <c r="D7" s="31">
        <f>(A7+B7)*(EXP(C7*1000/(9.8*H7))-1)</f>
        <v>1340.5281576449738</v>
      </c>
      <c r="E7" s="10">
        <f>A7+B7+D7</f>
        <v>4000.028157644974</v>
      </c>
      <c r="F7" t="s">
        <v>245</v>
      </c>
      <c r="G7" s="29">
        <f>D7/E7</f>
        <v>0.33512968029560397</v>
      </c>
      <c r="H7">
        <v>350</v>
      </c>
    </row>
    <row r="8" spans="1:10" ht="12.75">
      <c r="A8" s="32">
        <v>425</v>
      </c>
      <c r="B8" s="32">
        <v>1075</v>
      </c>
      <c r="C8" s="33">
        <f>0.009096/2</f>
        <v>0.004548</v>
      </c>
      <c r="D8" s="34">
        <f t="shared" si="0"/>
        <v>0.3446546633003589</v>
      </c>
      <c r="E8" s="32">
        <f t="shared" si="1"/>
        <v>1500.3446546633004</v>
      </c>
      <c r="F8" s="9" t="s">
        <v>169</v>
      </c>
      <c r="H8" s="9">
        <v>2020</v>
      </c>
      <c r="I8" s="35">
        <f>D8/E8*1000</f>
        <v>0.22971699351153718</v>
      </c>
      <c r="J8" s="36"/>
    </row>
    <row r="9" spans="1:10" ht="12.75">
      <c r="A9" s="3">
        <v>3000</v>
      </c>
      <c r="B9" s="3">
        <v>415</v>
      </c>
      <c r="C9" s="39">
        <v>3.13</v>
      </c>
      <c r="D9" s="42">
        <f t="shared" si="0"/>
        <v>584.9835278474285</v>
      </c>
      <c r="E9" s="3">
        <f t="shared" si="1"/>
        <v>3999.9835278474284</v>
      </c>
      <c r="F9" s="43" t="s">
        <v>236</v>
      </c>
      <c r="G9" s="43"/>
      <c r="H9" s="43">
        <v>2020</v>
      </c>
      <c r="I9" s="37">
        <f>D9/E9</f>
        <v>0.14624648421045736</v>
      </c>
      <c r="J9" s="36"/>
    </row>
    <row r="10" spans="1:10" ht="12.75">
      <c r="A10" s="3">
        <v>3000</v>
      </c>
      <c r="B10" s="3">
        <v>87</v>
      </c>
      <c r="C10" s="39">
        <v>5.13</v>
      </c>
      <c r="D10" s="42">
        <f t="shared" si="0"/>
        <v>913.1945873930127</v>
      </c>
      <c r="E10" s="3">
        <f t="shared" si="1"/>
        <v>4000.1945873930126</v>
      </c>
      <c r="F10" s="9" t="s">
        <v>118</v>
      </c>
      <c r="G10" s="39"/>
      <c r="H10" s="43">
        <v>2020</v>
      </c>
      <c r="I10" s="40"/>
      <c r="J10" s="36"/>
    </row>
    <row r="11" spans="1:10" ht="12.75">
      <c r="A11" s="3">
        <v>3000</v>
      </c>
      <c r="B11" s="3">
        <v>10</v>
      </c>
      <c r="C11" s="39">
        <v>5.63</v>
      </c>
      <c r="D11" s="42">
        <f t="shared" si="0"/>
        <v>990.1864311820082</v>
      </c>
      <c r="E11" s="3">
        <f t="shared" si="1"/>
        <v>4000.186431182008</v>
      </c>
      <c r="F11" s="9" t="s">
        <v>172</v>
      </c>
      <c r="G11" s="39"/>
      <c r="H11" s="43">
        <v>2020</v>
      </c>
      <c r="I11" s="40"/>
      <c r="J11" s="36"/>
    </row>
    <row r="12" spans="1:10" ht="12.75">
      <c r="A12" s="3">
        <v>3000</v>
      </c>
      <c r="B12" s="3">
        <v>335</v>
      </c>
      <c r="C12" s="39">
        <v>3.6</v>
      </c>
      <c r="D12" s="53">
        <f t="shared" si="0"/>
        <v>665.132955943982</v>
      </c>
      <c r="E12" s="3">
        <f t="shared" si="1"/>
        <v>4000.132955943982</v>
      </c>
      <c r="F12" s="9"/>
      <c r="G12" s="39"/>
      <c r="H12" s="43">
        <v>2020</v>
      </c>
      <c r="I12" s="40"/>
      <c r="J12" s="36"/>
    </row>
    <row r="13" spans="1:13" ht="12.75">
      <c r="A13" s="3">
        <v>3000</v>
      </c>
      <c r="B13" s="3">
        <v>727</v>
      </c>
      <c r="C13" s="39">
        <v>1.4</v>
      </c>
      <c r="D13" s="53">
        <f>(A13+B13)*(EXP(C13*1000/(9.8*H13))-1)</f>
        <v>273.1224707840545</v>
      </c>
      <c r="E13" s="3">
        <f>A13+B13+D13</f>
        <v>4000.1224707840547</v>
      </c>
      <c r="F13" s="43" t="s">
        <v>246</v>
      </c>
      <c r="G13" s="43"/>
      <c r="H13" s="43">
        <v>2020</v>
      </c>
      <c r="I13" s="40"/>
      <c r="J13" s="36"/>
      <c r="M13">
        <v>86400</v>
      </c>
    </row>
    <row r="14" spans="1:10" ht="12.75">
      <c r="A14" s="3">
        <v>24000</v>
      </c>
      <c r="B14" s="3">
        <v>85</v>
      </c>
      <c r="C14" s="39">
        <v>0.25</v>
      </c>
      <c r="D14" s="53">
        <f>(A14+B14)*(EXP(C14*1000/(9.8*H14))-1)</f>
        <v>306.0937149544504</v>
      </c>
      <c r="E14" s="3">
        <f>A14+B14+D14</f>
        <v>24391.09371495445</v>
      </c>
      <c r="F14" s="43" t="s">
        <v>342</v>
      </c>
      <c r="G14" s="43"/>
      <c r="H14" s="43">
        <v>2020</v>
      </c>
      <c r="I14" s="40"/>
      <c r="J14" s="54" t="e">
        <f>#REF!</f>
        <v>#REF!</v>
      </c>
    </row>
    <row r="15" spans="1:13" ht="12.75">
      <c r="A15" s="3">
        <v>3000</v>
      </c>
      <c r="B15" s="3">
        <v>979.8</v>
      </c>
      <c r="C15" s="39">
        <v>0.1</v>
      </c>
      <c r="D15" s="53">
        <f>(A15+B15)*(EXP(C15*1000/(9.8*H15))-1)</f>
        <v>20.154925126997473</v>
      </c>
      <c r="E15" s="3">
        <f>A15+B15+D15</f>
        <v>3999.9549251269978</v>
      </c>
      <c r="F15" s="43" t="s">
        <v>338</v>
      </c>
      <c r="G15" s="43"/>
      <c r="H15" s="43">
        <v>2020</v>
      </c>
      <c r="I15" s="41"/>
      <c r="J15" t="s">
        <v>209</v>
      </c>
      <c r="K15" t="s">
        <v>136</v>
      </c>
      <c r="L15" t="s">
        <v>267</v>
      </c>
      <c r="M15" t="s">
        <v>268</v>
      </c>
    </row>
    <row r="16" spans="1:13" ht="12.75">
      <c r="A16">
        <v>8.025</v>
      </c>
      <c r="B16" t="s">
        <v>299</v>
      </c>
      <c r="C16" s="2">
        <f>A16*E16</f>
        <v>9.22875</v>
      </c>
      <c r="D16" t="s">
        <v>300</v>
      </c>
      <c r="E16">
        <v>1.15</v>
      </c>
      <c r="J16">
        <v>4</v>
      </c>
      <c r="K16">
        <v>4000</v>
      </c>
      <c r="L16">
        <f>J16/K16</f>
        <v>0.001</v>
      </c>
      <c r="M16">
        <f>L16*M$13</f>
        <v>86.4</v>
      </c>
    </row>
    <row r="17" spans="1:13" ht="12.75">
      <c r="A17">
        <v>5</v>
      </c>
      <c r="B17" t="s">
        <v>298</v>
      </c>
      <c r="C17" s="5">
        <f>A17*E17</f>
        <v>5.6000000000000005</v>
      </c>
      <c r="D17" t="s">
        <v>297</v>
      </c>
      <c r="E17">
        <v>1.12</v>
      </c>
      <c r="J17">
        <v>5</v>
      </c>
      <c r="K17">
        <v>4000</v>
      </c>
      <c r="L17">
        <f>J17/K17</f>
        <v>0.00125</v>
      </c>
      <c r="M17">
        <f>L17*M$13</f>
        <v>108</v>
      </c>
    </row>
    <row r="18" spans="1:13" ht="12.75">
      <c r="A18" t="s">
        <v>228</v>
      </c>
      <c r="J18">
        <v>10</v>
      </c>
      <c r="K18">
        <v>4000</v>
      </c>
      <c r="L18">
        <f>J18/K18</f>
        <v>0.0025</v>
      </c>
      <c r="M18">
        <f>L18*M$13</f>
        <v>216</v>
      </c>
    </row>
    <row r="19" spans="1:6" ht="12.75">
      <c r="A19" t="s">
        <v>14</v>
      </c>
      <c r="B19" t="s">
        <v>15</v>
      </c>
      <c r="C19" s="9" t="s">
        <v>224</v>
      </c>
      <c r="D19" t="s">
        <v>225</v>
      </c>
      <c r="E19" t="s">
        <v>17</v>
      </c>
      <c r="F19" t="s">
        <v>210</v>
      </c>
    </row>
    <row r="20" spans="1:9" ht="12.75">
      <c r="A20" s="10">
        <v>14000</v>
      </c>
      <c r="B20" s="10">
        <f>E21</f>
        <v>16300</v>
      </c>
      <c r="C20" s="2">
        <f>(F20*J$3)*LN(E20/(A20+B20))/1000</f>
        <v>4.875567222792549</v>
      </c>
      <c r="D20">
        <v>95000</v>
      </c>
      <c r="E20" s="10">
        <f>A20+B20+D20</f>
        <v>125300</v>
      </c>
      <c r="F20">
        <v>350</v>
      </c>
      <c r="I20" s="9" t="s">
        <v>296</v>
      </c>
    </row>
    <row r="21" spans="1:6" ht="12.75">
      <c r="A21" s="10">
        <v>3000</v>
      </c>
      <c r="B21" s="10">
        <v>1300</v>
      </c>
      <c r="C21" s="2">
        <f>(F21*J$3)*LN(E21/(A21+B21))/1000</f>
        <v>4.576716097846187</v>
      </c>
      <c r="D21">
        <v>12000</v>
      </c>
      <c r="E21" s="10">
        <f>A21+B21+D21</f>
        <v>16300</v>
      </c>
      <c r="F21">
        <v>350</v>
      </c>
    </row>
    <row r="22" ht="12.75">
      <c r="C22" s="2">
        <f>C20+C21</f>
        <v>9.452283320638736</v>
      </c>
    </row>
    <row r="23" ht="12.75">
      <c r="A23" t="s">
        <v>301</v>
      </c>
    </row>
    <row r="24" spans="1:6" ht="12.75">
      <c r="A24" s="10">
        <f>A20/2.2</f>
        <v>6363.636363636363</v>
      </c>
      <c r="B24" s="10">
        <f>B20/2.2</f>
        <v>7409.090909090908</v>
      </c>
      <c r="C24" s="2">
        <f>(F24*J$3)*LN(E24/(A24+B24))/1000</f>
        <v>4.875567222792548</v>
      </c>
      <c r="D24" s="10">
        <f>D20/2.2</f>
        <v>43181.81818181818</v>
      </c>
      <c r="E24" s="10">
        <f>A24+B24+D24</f>
        <v>56954.54545454545</v>
      </c>
      <c r="F24">
        <v>350</v>
      </c>
    </row>
    <row r="25" spans="1:6" ht="12.75">
      <c r="A25" s="10">
        <f>A24</f>
        <v>6363.636363636363</v>
      </c>
      <c r="B25" s="10">
        <v>4000</v>
      </c>
      <c r="C25" s="2">
        <f>(F25*J$3)*LN(E25/(A25+B25))/1000</f>
        <v>5.64032091269735</v>
      </c>
      <c r="D25" s="10">
        <f>D24</f>
        <v>43181.81818181818</v>
      </c>
      <c r="E25" s="10">
        <f>A25+B25+D25</f>
        <v>53545.454545454544</v>
      </c>
      <c r="F25">
        <v>350</v>
      </c>
    </row>
    <row r="27" spans="1:6" ht="12.75">
      <c r="A27">
        <f>0.15*D27</f>
        <v>6510</v>
      </c>
      <c r="B27">
        <v>4000</v>
      </c>
      <c r="C27" s="2">
        <f>(F27*J$3)*LN(E27/(A27+B27))/1000</f>
        <v>5.615458409624982</v>
      </c>
      <c r="D27">
        <v>43400</v>
      </c>
      <c r="E27" s="10">
        <f>A27+B27+D27</f>
        <v>53910</v>
      </c>
      <c r="F27">
        <v>350</v>
      </c>
    </row>
    <row r="29" ht="12.75">
      <c r="A29" t="s">
        <v>302</v>
      </c>
    </row>
    <row r="30" spans="2:10" ht="12.75">
      <c r="B30" t="s">
        <v>303</v>
      </c>
      <c r="G30" t="s">
        <v>304</v>
      </c>
      <c r="H30" t="s">
        <v>305</v>
      </c>
      <c r="I30" t="s">
        <v>306</v>
      </c>
      <c r="J30" s="9" t="s">
        <v>210</v>
      </c>
    </row>
    <row r="31" spans="1:10" ht="12.75">
      <c r="A31">
        <f>E31-D31</f>
        <v>74400</v>
      </c>
      <c r="D31">
        <f>G31+H31</f>
        <v>707600</v>
      </c>
      <c r="E31">
        <v>782000</v>
      </c>
      <c r="F31" t="s">
        <v>307</v>
      </c>
      <c r="G31">
        <v>194900</v>
      </c>
      <c r="H31">
        <v>512700</v>
      </c>
      <c r="I31" s="44">
        <f>A31/D31</f>
        <v>0.10514414923685698</v>
      </c>
      <c r="J31" s="9">
        <v>337</v>
      </c>
    </row>
    <row r="32" spans="1:10" ht="12.75">
      <c r="A32">
        <f>E32-D32</f>
        <v>21000</v>
      </c>
      <c r="B32">
        <v>30300</v>
      </c>
      <c r="D32">
        <f>G32+H32</f>
        <v>179000</v>
      </c>
      <c r="E32">
        <v>200000</v>
      </c>
      <c r="F32" t="s">
        <v>37</v>
      </c>
      <c r="G32">
        <v>50000</v>
      </c>
      <c r="H32">
        <v>129000</v>
      </c>
      <c r="I32" s="44">
        <f>A32/D32</f>
        <v>0.11731843575418995</v>
      </c>
      <c r="J32" s="9">
        <v>350</v>
      </c>
    </row>
    <row r="33" spans="4:8" ht="12.75">
      <c r="D33">
        <f>G33+H33</f>
        <v>32300</v>
      </c>
      <c r="E33">
        <v>38000</v>
      </c>
      <c r="F33" t="s">
        <v>308</v>
      </c>
      <c r="G33">
        <v>9500</v>
      </c>
      <c r="H33">
        <v>22800</v>
      </c>
    </row>
    <row r="34" spans="2:6" ht="12.75">
      <c r="B34">
        <v>30300</v>
      </c>
      <c r="E34">
        <f>E32+B32</f>
        <v>230300</v>
      </c>
      <c r="F34" t="s">
        <v>309</v>
      </c>
    </row>
    <row r="35" spans="1:9" ht="12.75">
      <c r="A35" t="s">
        <v>14</v>
      </c>
      <c r="B35" t="s">
        <v>15</v>
      </c>
      <c r="C35" s="9" t="s">
        <v>224</v>
      </c>
      <c r="D35" t="s">
        <v>225</v>
      </c>
      <c r="E35" t="s">
        <v>17</v>
      </c>
      <c r="H35" t="s">
        <v>210</v>
      </c>
      <c r="I35" t="s">
        <v>310</v>
      </c>
    </row>
    <row r="36" spans="1:10" ht="12.75">
      <c r="A36">
        <f>A32</f>
        <v>21000</v>
      </c>
      <c r="B36">
        <v>30300</v>
      </c>
      <c r="C36">
        <v>5.15</v>
      </c>
      <c r="D36" s="51">
        <f>(A36+B36)*(EXP(C36*1000/(9.8*H36))-1)</f>
        <v>178946.0404222245</v>
      </c>
      <c r="E36" s="10">
        <f>A36+B36+D36</f>
        <v>230246.0404222245</v>
      </c>
      <c r="F36" t="s">
        <v>311</v>
      </c>
      <c r="G36" s="44">
        <f>A36/D36</f>
        <v>0.11735381207905102</v>
      </c>
      <c r="H36">
        <v>350</v>
      </c>
      <c r="I36" s="5">
        <f>B36/A36</f>
        <v>1.4428571428571428</v>
      </c>
      <c r="J36" s="44">
        <f>A36/E36</f>
        <v>0.09120678019691571</v>
      </c>
    </row>
    <row r="37" spans="1:10" ht="12.75">
      <c r="A37">
        <f>A31</f>
        <v>74400</v>
      </c>
      <c r="B37">
        <f>E34</f>
        <v>230300</v>
      </c>
      <c r="C37">
        <v>3.965</v>
      </c>
      <c r="D37" s="51">
        <f>(A37+B37)*(EXP(C37*1000/(9.8*H37))-1)</f>
        <v>707515.6646071249</v>
      </c>
      <c r="E37" s="10">
        <f>A37+B37+D37</f>
        <v>1012215.6646071249</v>
      </c>
      <c r="F37" t="s">
        <v>312</v>
      </c>
      <c r="G37" s="44">
        <f>A37/D37</f>
        <v>0.10515668234895328</v>
      </c>
      <c r="H37">
        <v>337</v>
      </c>
      <c r="I37" s="5">
        <f>B37/A37</f>
        <v>3.0954301075268815</v>
      </c>
      <c r="J37" s="44">
        <f>A37/E37</f>
        <v>0.07350212272092939</v>
      </c>
    </row>
    <row r="38" spans="3:5" ht="12.75">
      <c r="C38">
        <f>SUM(C36:C37)</f>
        <v>9.115</v>
      </c>
      <c r="E38">
        <f>E31+E34</f>
        <v>1012300</v>
      </c>
    </row>
    <row r="39" ht="12.75">
      <c r="A39" t="s">
        <v>333</v>
      </c>
    </row>
    <row r="40" spans="1:7" ht="12.75">
      <c r="A40" t="s">
        <v>14</v>
      </c>
      <c r="B40" t="s">
        <v>15</v>
      </c>
      <c r="D40" t="s">
        <v>16</v>
      </c>
      <c r="E40" t="s">
        <v>284</v>
      </c>
      <c r="G40" t="s">
        <v>334</v>
      </c>
    </row>
    <row r="41" spans="1:10" ht="12.75">
      <c r="A41">
        <f>E41-D41-B41</f>
        <v>7110</v>
      </c>
      <c r="B41">
        <v>4000</v>
      </c>
      <c r="C41" s="2">
        <f>(F41*J$3)*LN(E41/(A41+B41))/1000</f>
        <v>5.618871401868377</v>
      </c>
      <c r="D41">
        <v>43400</v>
      </c>
      <c r="E41">
        <v>54510</v>
      </c>
      <c r="F41">
        <v>360</v>
      </c>
      <c r="G41">
        <v>5</v>
      </c>
      <c r="H41" t="s">
        <v>335</v>
      </c>
      <c r="J41" s="2">
        <f>C41/G41</f>
        <v>1.1237742803736754</v>
      </c>
    </row>
    <row r="42" spans="1:8" ht="12.75">
      <c r="A42">
        <v>7110</v>
      </c>
      <c r="B42">
        <v>2000</v>
      </c>
      <c r="C42" s="2">
        <f>(F42*J$3)*LN(E42/(A42+B42))/1000</f>
        <v>6.016072117687636</v>
      </c>
      <c r="D42">
        <v>43400</v>
      </c>
      <c r="E42">
        <f>A42+B42+D42</f>
        <v>52510</v>
      </c>
      <c r="F42">
        <v>350</v>
      </c>
      <c r="G42">
        <v>5.4</v>
      </c>
      <c r="H42" t="s">
        <v>336</v>
      </c>
    </row>
    <row r="43" ht="12.75">
      <c r="A43" t="s">
        <v>283</v>
      </c>
    </row>
    <row r="45" spans="1:8" ht="12.75">
      <c r="A45">
        <v>7110</v>
      </c>
      <c r="B45">
        <v>2000</v>
      </c>
      <c r="C45" s="2">
        <f>(F45*J$3)*LN(E45/(A45+B45))/1000</f>
        <v>7.199437099428343</v>
      </c>
      <c r="D45">
        <v>65000</v>
      </c>
      <c r="E45">
        <f>A45+B45+D45</f>
        <v>74110</v>
      </c>
      <c r="F45">
        <v>350</v>
      </c>
      <c r="G45">
        <v>5.4</v>
      </c>
      <c r="H45" t="s">
        <v>336</v>
      </c>
    </row>
    <row r="46" ht="12.75">
      <c r="C46">
        <f>1.12*6.5</f>
        <v>7.280000000000001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C32" sqref="C32"/>
    </sheetView>
  </sheetViews>
  <sheetFormatPr defaultColWidth="9.140625" defaultRowHeight="12.75"/>
  <cols>
    <col min="1" max="1" width="7.8515625" style="0" customWidth="1"/>
    <col min="2" max="2" width="10.57421875" style="0" customWidth="1"/>
    <col min="3" max="3" width="7.57421875" style="0" customWidth="1"/>
    <col min="4" max="4" width="9.421875" style="0" customWidth="1"/>
    <col min="7" max="7" width="7.7109375" style="0" customWidth="1"/>
    <col min="9" max="9" width="10.28125" style="0" customWidth="1"/>
  </cols>
  <sheetData>
    <row r="1" spans="1:6" ht="12.75">
      <c r="A1" t="s">
        <v>339</v>
      </c>
      <c r="F1" s="1">
        <v>37853</v>
      </c>
    </row>
    <row r="3" spans="1:4" ht="12.75">
      <c r="A3" t="s">
        <v>250</v>
      </c>
      <c r="D3" t="s">
        <v>253</v>
      </c>
    </row>
    <row r="4" spans="1:5" ht="12.75">
      <c r="A4">
        <v>6.9E-05</v>
      </c>
      <c r="B4" t="s">
        <v>251</v>
      </c>
      <c r="D4" t="s">
        <v>169</v>
      </c>
      <c r="E4" s="28">
        <f>0.512/8000</f>
        <v>6.4E-05</v>
      </c>
    </row>
    <row r="5" spans="1:2" ht="12.75">
      <c r="A5">
        <v>290</v>
      </c>
      <c r="B5" t="s">
        <v>252</v>
      </c>
    </row>
    <row r="6" spans="1:2" ht="12.75">
      <c r="A6">
        <f>A4*A5*1000</f>
        <v>20.01</v>
      </c>
      <c r="B6" t="s">
        <v>254</v>
      </c>
    </row>
    <row r="7" spans="1:2" ht="12.75">
      <c r="A7">
        <v>24.2</v>
      </c>
      <c r="B7" t="s">
        <v>81</v>
      </c>
    </row>
    <row r="8" spans="1:6" ht="12.75">
      <c r="A8">
        <f>A6/A7/1000</f>
        <v>0.0008268595041322315</v>
      </c>
      <c r="B8" t="s">
        <v>255</v>
      </c>
      <c r="D8">
        <f>86400*0.62</f>
        <v>53568</v>
      </c>
      <c r="E8" s="6">
        <f>D8*A8</f>
        <v>44.29320991735538</v>
      </c>
      <c r="F8" t="s">
        <v>256</v>
      </c>
    </row>
    <row r="9" spans="4:5" ht="12.75">
      <c r="D9">
        <f>0.6*100*60</f>
        <v>3600</v>
      </c>
      <c r="E9" s="6">
        <f>A8*D9</f>
        <v>2.9766942148760336</v>
      </c>
    </row>
    <row r="10" spans="1:6" ht="12.75">
      <c r="A10" t="s">
        <v>259</v>
      </c>
      <c r="F10" t="s">
        <v>266</v>
      </c>
    </row>
    <row r="11" spans="1:7" ht="12.75">
      <c r="A11" t="s">
        <v>252</v>
      </c>
      <c r="B11" t="s">
        <v>260</v>
      </c>
      <c r="C11" t="s">
        <v>261</v>
      </c>
      <c r="D11" t="s">
        <v>262</v>
      </c>
      <c r="E11" t="s">
        <v>263</v>
      </c>
      <c r="F11" t="s">
        <v>264</v>
      </c>
      <c r="G11" t="s">
        <v>265</v>
      </c>
    </row>
    <row r="12" spans="1:8" ht="12.75">
      <c r="A12">
        <v>290</v>
      </c>
      <c r="B12">
        <v>0.1</v>
      </c>
      <c r="C12">
        <f>A12*B12</f>
        <v>29</v>
      </c>
      <c r="D12">
        <v>100</v>
      </c>
      <c r="E12">
        <f>C$12*1000/D12</f>
        <v>290</v>
      </c>
      <c r="F12" s="6">
        <f>C12/0.7/B12</f>
        <v>414.2857142857143</v>
      </c>
      <c r="G12" s="10">
        <f>32*E12</f>
        <v>9280</v>
      </c>
      <c r="H12">
        <f>A12/2</f>
        <v>145</v>
      </c>
    </row>
    <row r="13" spans="4:7" ht="12.75">
      <c r="D13">
        <v>180</v>
      </c>
      <c r="E13" s="10">
        <f>C$12*1000/D13</f>
        <v>161.11111111111111</v>
      </c>
      <c r="F13" s="6"/>
      <c r="G13" s="10">
        <f>32*E13</f>
        <v>5155.555555555556</v>
      </c>
    </row>
    <row r="14" spans="1:8" ht="12.75">
      <c r="A14">
        <v>341</v>
      </c>
      <c r="B14">
        <v>0.1</v>
      </c>
      <c r="C14" s="6">
        <f>A14*B14*0.7</f>
        <v>23.87</v>
      </c>
      <c r="D14">
        <v>100</v>
      </c>
      <c r="E14" s="10">
        <f>C14*1000/D14</f>
        <v>238.7</v>
      </c>
      <c r="F14" s="6">
        <f>C14/0.7/B14</f>
        <v>341</v>
      </c>
      <c r="G14" s="10"/>
      <c r="H14" s="6">
        <f>C14+F14*B14</f>
        <v>57.97</v>
      </c>
    </row>
    <row r="15" spans="3:8" ht="12.75">
      <c r="C15" s="6"/>
      <c r="D15">
        <v>180</v>
      </c>
      <c r="E15" s="10">
        <f>C14*1000/D15</f>
        <v>132.61111111111111</v>
      </c>
      <c r="F15" s="6"/>
      <c r="G15" s="10">
        <f>32*E15</f>
        <v>4243.555555555556</v>
      </c>
      <c r="H15" s="6"/>
    </row>
    <row r="16" spans="1:8" ht="12.75">
      <c r="A16">
        <v>6400</v>
      </c>
      <c r="B16">
        <v>0.1</v>
      </c>
      <c r="C16">
        <f>A16*B16</f>
        <v>640</v>
      </c>
      <c r="D16">
        <v>100</v>
      </c>
      <c r="E16">
        <f>C16*1000/D16</f>
        <v>6400</v>
      </c>
      <c r="F16" s="6">
        <f>C16/0.7/B16</f>
        <v>9142.857142857143</v>
      </c>
      <c r="G16" s="10">
        <f>32*E16</f>
        <v>204800</v>
      </c>
      <c r="H16">
        <f>A16/2</f>
        <v>3200</v>
      </c>
    </row>
    <row r="17" spans="4:7" ht="12.75">
      <c r="D17">
        <v>180</v>
      </c>
      <c r="E17" s="10">
        <f>C16*1000/D17</f>
        <v>3555.5555555555557</v>
      </c>
      <c r="G17" s="10">
        <f>32*E17</f>
        <v>113777.77777777778</v>
      </c>
    </row>
    <row r="18" spans="1:8" ht="12.75">
      <c r="A18">
        <v>7600</v>
      </c>
      <c r="B18">
        <v>0.1</v>
      </c>
      <c r="C18">
        <f>A18*B18*0.7</f>
        <v>532</v>
      </c>
      <c r="D18">
        <v>100</v>
      </c>
      <c r="E18" s="10">
        <f>C18*1000/D18</f>
        <v>5320</v>
      </c>
      <c r="F18" s="6">
        <f>C18/0.7/B18</f>
        <v>7600</v>
      </c>
      <c r="G18" s="10">
        <f>32*E18</f>
        <v>170240</v>
      </c>
      <c r="H18" s="10">
        <f>C18/B18+A18</f>
        <v>12920</v>
      </c>
    </row>
    <row r="19" spans="1:7" ht="12.75">
      <c r="A19" t="s">
        <v>273</v>
      </c>
      <c r="F19">
        <f>F18/32</f>
        <v>237.5</v>
      </c>
      <c r="G19" t="s">
        <v>272</v>
      </c>
    </row>
    <row r="22" spans="1:8" ht="12.75">
      <c r="A22" t="s">
        <v>274</v>
      </c>
      <c r="B22" t="s">
        <v>260</v>
      </c>
      <c r="C22" t="s">
        <v>261</v>
      </c>
      <c r="D22" t="s">
        <v>262</v>
      </c>
      <c r="E22" t="s">
        <v>263</v>
      </c>
      <c r="F22" t="s">
        <v>264</v>
      </c>
      <c r="H22" t="s">
        <v>276</v>
      </c>
    </row>
    <row r="23" spans="1:9" ht="12.75">
      <c r="A23">
        <v>2435</v>
      </c>
      <c r="B23">
        <v>0.1</v>
      </c>
      <c r="C23">
        <f>A23*B23</f>
        <v>243.5</v>
      </c>
      <c r="D23">
        <v>100</v>
      </c>
      <c r="E23">
        <f>C23*1000/D23</f>
        <v>2435</v>
      </c>
      <c r="F23" s="6">
        <f>C23/0.7/B23</f>
        <v>3478.571428571429</v>
      </c>
      <c r="G23" s="10">
        <f>32*E23</f>
        <v>77920</v>
      </c>
      <c r="H23">
        <f>A23/2</f>
        <v>1217.5</v>
      </c>
      <c r="I23" t="s">
        <v>275</v>
      </c>
    </row>
    <row r="24" spans="1:8" ht="12.75">
      <c r="A24" s="10">
        <v>2850</v>
      </c>
      <c r="B24">
        <v>0.1</v>
      </c>
      <c r="C24">
        <f>A24*B24*0.7</f>
        <v>199.5</v>
      </c>
      <c r="D24">
        <v>100</v>
      </c>
      <c r="E24" s="10">
        <f>C24*1000/D24</f>
        <v>1995</v>
      </c>
      <c r="F24" s="6">
        <f>C24/0.7/B24</f>
        <v>2850</v>
      </c>
      <c r="G24" s="10">
        <f>32*E24</f>
        <v>63840</v>
      </c>
      <c r="H24" s="10">
        <f>C24/B24+A24</f>
        <v>4845</v>
      </c>
    </row>
    <row r="26" spans="1:8" ht="12.75">
      <c r="A26">
        <v>341</v>
      </c>
      <c r="B26">
        <v>0.1</v>
      </c>
      <c r="C26" s="6">
        <f>A26*B26*0.7</f>
        <v>23.87</v>
      </c>
      <c r="D26">
        <v>100</v>
      </c>
      <c r="E26" s="10">
        <f>C26*1000/D26</f>
        <v>238.7</v>
      </c>
      <c r="F26" s="6">
        <f>C26/0.7/B26</f>
        <v>341</v>
      </c>
      <c r="G26" s="10"/>
      <c r="H26" s="10">
        <f>C26/B26+A26</f>
        <v>579.7</v>
      </c>
    </row>
    <row r="29" spans="1:3" ht="12.75">
      <c r="A29" t="s">
        <v>345</v>
      </c>
      <c r="B29">
        <v>4.3</v>
      </c>
      <c r="C29" t="s">
        <v>347</v>
      </c>
    </row>
    <row r="30" spans="2:3" ht="12.75">
      <c r="B30">
        <v>0.0014</v>
      </c>
      <c r="C30" t="s">
        <v>346</v>
      </c>
    </row>
    <row r="31" spans="2:3" ht="12.75">
      <c r="B31" s="10">
        <f>B29/B30</f>
        <v>3071.4285714285716</v>
      </c>
      <c r="C31" t="s">
        <v>325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Contrary Optimism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P. Cate, Jr</dc:creator>
  <cp:keywords/>
  <dc:description/>
  <cp:lastModifiedBy>Henry Cate</cp:lastModifiedBy>
  <cp:lastPrinted>2003-10-02T13:42:48Z</cp:lastPrinted>
  <dcterms:created xsi:type="dcterms:W3CDTF">2003-05-21T05:02:36Z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