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2"/>
  </bookViews>
  <sheets>
    <sheet name="Equat40km" sheetId="1" r:id="rId1"/>
    <sheet name="T4T40km" sheetId="2" r:id="rId2"/>
    <sheet name="T4T120km" sheetId="3" r:id="rId3"/>
    <sheet name="Seed" sheetId="4" r:id="rId4"/>
    <sheet name="AWGamp" sheetId="5" r:id="rId5"/>
  </sheets>
  <externalReferences>
    <externalReference r:id="rId8"/>
  </externalReferences>
  <definedNames>
    <definedName name="_xlnm.Print_Area" localSheetId="0">'Equat40km'!$A:$IV</definedName>
    <definedName name="_xlnm.Print_Area" localSheetId="3">'Seed'!$A:$IV</definedName>
    <definedName name="_xlnm.Print_Area" localSheetId="2">'T4T120km'!$A:$IV</definedName>
    <definedName name="_xlnm.Print_Area" localSheetId="1">'T4T40km'!$A:$IV</definedName>
  </definedNames>
  <calcPr fullCalcOnLoad="1"/>
</workbook>
</file>

<file path=xl/sharedStrings.xml><?xml version="1.0" encoding="utf-8"?>
<sst xmlns="http://schemas.openxmlformats.org/spreadsheetml/2006/main" count="415" uniqueCount="121">
  <si>
    <t>Watts</t>
  </si>
  <si>
    <t>Tether length</t>
  </si>
  <si>
    <t>Km</t>
  </si>
  <si>
    <t>Tether resistance</t>
  </si>
  <si>
    <t>Ohms</t>
  </si>
  <si>
    <t>V^2-Vv-rW=0</t>
  </si>
  <si>
    <t>21 amp est</t>
  </si>
  <si>
    <t>Earth</t>
  </si>
  <si>
    <t>Vc/r^3 =(Re/r)^3.5</t>
  </si>
  <si>
    <t>Amps</t>
  </si>
  <si>
    <t>Volts gross</t>
  </si>
  <si>
    <t>V/20 km</t>
  </si>
  <si>
    <t>new/ampk</t>
  </si>
  <si>
    <t>Up const</t>
  </si>
  <si>
    <t>Down,const</t>
  </si>
  <si>
    <t>Altitude</t>
  </si>
  <si>
    <t>Radius</t>
  </si>
  <si>
    <t>V/km</t>
  </si>
  <si>
    <t>new/ampKm</t>
  </si>
  <si>
    <t>goingUP</t>
  </si>
  <si>
    <t>Newtons</t>
  </si>
  <si>
    <t>down/up</t>
  </si>
  <si>
    <t>-b</t>
  </si>
  <si>
    <t>sqrt(b^2-4ac)</t>
  </si>
  <si>
    <t>Rel 500Km</t>
  </si>
  <si>
    <t>4 A C</t>
  </si>
  <si>
    <t>Junk is between 900 &amp; 1460 Km.</t>
  </si>
  <si>
    <t>Van Allen between 1000 &amp; 6000 Km.</t>
  </si>
  <si>
    <t>UP</t>
  </si>
  <si>
    <t>DOWN</t>
  </si>
  <si>
    <t>ax^2 + bx +c = 0 has the solution</t>
  </si>
  <si>
    <t>In this case a=1</t>
  </si>
  <si>
    <t>W = V^2 / R = I V</t>
  </si>
  <si>
    <t xml:space="preserve">W = I^2 * R </t>
  </si>
  <si>
    <t>b=-vd = column C* (L = 20km)</t>
  </si>
  <si>
    <t>I = (V - vd)/R</t>
  </si>
  <si>
    <t>I= sqrt(W/R)</t>
  </si>
  <si>
    <t>x = (-b +/- Sqrt(b^2 - 4ac)) / 2a</t>
  </si>
  <si>
    <t>c=WR = 100 ohms * wattage</t>
  </si>
  <si>
    <t>W = V * (V-vd)/R</t>
  </si>
  <si>
    <t>It = I + vd/R</t>
  </si>
  <si>
    <t>Solving for Voltage, which must be variable for the package, current is the real optimized</t>
  </si>
  <si>
    <t>WR = V^2 - V*vd</t>
  </si>
  <si>
    <t>V^2 -V*vd-WR = 0</t>
  </si>
  <si>
    <t>Time estimates</t>
  </si>
  <si>
    <t>acc time</t>
  </si>
  <si>
    <t>Acc hours</t>
  </si>
  <si>
    <t>Mass tons</t>
  </si>
  <si>
    <t>Ac (m/s^2)</t>
  </si>
  <si>
    <t>Delt V(m)</t>
  </si>
  <si>
    <t>Mass T</t>
  </si>
  <si>
    <t>Sum</t>
  </si>
  <si>
    <t>Day-Up,Bk</t>
  </si>
  <si>
    <t>Up</t>
  </si>
  <si>
    <t>back</t>
  </si>
  <si>
    <t>Aluminum</t>
  </si>
  <si>
    <t>From 700</t>
  </si>
  <si>
    <t>Cargo UP</t>
  </si>
  <si>
    <t>Limit amps down</t>
  </si>
  <si>
    <t>Max rated amps</t>
  </si>
  <si>
    <t>Constant power</t>
  </si>
  <si>
    <t>Altitude Km</t>
  </si>
  <si>
    <t>Power Dn</t>
  </si>
  <si>
    <t>Induced</t>
  </si>
  <si>
    <t>Hours</t>
  </si>
  <si>
    <t>Cargo down</t>
  </si>
  <si>
    <t>V=W/I</t>
  </si>
  <si>
    <t>Inclination</t>
  </si>
  <si>
    <t>Radians</t>
  </si>
  <si>
    <t>Cos</t>
  </si>
  <si>
    <t>Cate #12</t>
  </si>
  <si>
    <t>MassTether</t>
  </si>
  <si>
    <t>Handbook of Chem &amp; Physics 1991-2</t>
  </si>
  <si>
    <t>Wire tables 15.25-29</t>
  </si>
  <si>
    <t>Cu</t>
  </si>
  <si>
    <t>Al</t>
  </si>
  <si>
    <t>Density</t>
  </si>
  <si>
    <t>Ohm Meter (E-8)</t>
  </si>
  <si>
    <t>#12 OK for 35 amps, for 30 ft!?</t>
  </si>
  <si>
    <t>AL</t>
  </si>
  <si>
    <t>OHM/km</t>
  </si>
  <si>
    <t>Amps Rec</t>
  </si>
  <si>
    <t>Diam mm</t>
  </si>
  <si>
    <t>Kg/Km</t>
  </si>
  <si>
    <t>20 Cent</t>
  </si>
  <si>
    <t>Amps CU</t>
  </si>
  <si>
    <t>Al 84%</t>
  </si>
  <si>
    <t>Multiplex</t>
  </si>
  <si>
    <t>Gross Am</t>
  </si>
  <si>
    <t>Kg /len</t>
  </si>
  <si>
    <t>Ohm - len</t>
  </si>
  <si>
    <t>Connector</t>
  </si>
  <si>
    <t>Length</t>
  </si>
  <si>
    <t>Number</t>
  </si>
  <si>
    <t>Tot length</t>
  </si>
  <si>
    <t>KG</t>
  </si>
  <si>
    <t>Gap</t>
  </si>
  <si>
    <t>Meters</t>
  </si>
  <si>
    <t>0 cent</t>
  </si>
  <si>
    <t>50 cent</t>
  </si>
  <si>
    <t>Ohm C/Al</t>
  </si>
  <si>
    <t>Amp ratio</t>
  </si>
  <si>
    <t>Diam ratio</t>
  </si>
  <si>
    <t>At 4 ton, want 200 Newtons</t>
  </si>
  <si>
    <t>CM @ 550 km alt</t>
  </si>
  <si>
    <t>Row in AWG</t>
  </si>
  <si>
    <t>as Lb^(3/2</t>
  </si>
  <si>
    <t>LengBare</t>
  </si>
  <si>
    <t>Lb^(3/2)</t>
  </si>
  <si>
    <t>AWG 8 is 406 Ohm/120 km, mass 2712 kg</t>
  </si>
  <si>
    <t>mass</t>
  </si>
  <si>
    <t>cm/s^2</t>
  </si>
  <si>
    <t>GravK3/s2</t>
  </si>
  <si>
    <t>Sqrt(GrvK)</t>
  </si>
  <si>
    <t>V circ</t>
  </si>
  <si>
    <t xml:space="preserve">AWG  </t>
  </si>
  <si>
    <t>Ohm/len</t>
  </si>
  <si>
    <t>Max amps</t>
  </si>
  <si>
    <t>Total Mass</t>
  </si>
  <si>
    <t>At 2 ton, 20 Newton start</t>
  </si>
  <si>
    <t>Wires</t>
  </si>
</sst>
</file>

<file path=xl/styles.xml><?xml version="1.0" encoding="utf-8"?>
<styleSheet xmlns="http://schemas.openxmlformats.org/spreadsheetml/2006/main">
  <numFmts count="7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E+00;\ĝ"/>
    <numFmt numFmtId="167" formatCode="0.0000E+00;\酠"/>
    <numFmt numFmtId="168" formatCode="0.000E+00;\酠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E+00;\᧬"/>
    <numFmt numFmtId="175" formatCode="0.0E+00;\膌"/>
    <numFmt numFmtId="176" formatCode="0.0%"/>
    <numFmt numFmtId="177" formatCode="0.0_)"/>
    <numFmt numFmtId="178" formatCode="0.000_)"/>
    <numFmt numFmtId="179" formatCode="0_)"/>
    <numFmt numFmtId="180" formatCode="0.0000_)"/>
    <numFmt numFmtId="181" formatCode="0.000%"/>
    <numFmt numFmtId="182" formatCode="0.00_)"/>
    <numFmt numFmtId="183" formatCode="0.0000E+00;\叐"/>
    <numFmt numFmtId="184" formatCode="0.000E+00;\叐"/>
    <numFmt numFmtId="185" formatCode="m/d/yy"/>
    <numFmt numFmtId="186" formatCode="#,##0.0"/>
    <numFmt numFmtId="187" formatCode="0.00000000000000000"/>
    <numFmt numFmtId="188" formatCode="0.0000E+00;\㲤"/>
    <numFmt numFmtId="189" formatCode="0.0000E+00;\֐"/>
    <numFmt numFmtId="190" formatCode="0.0000E+00;\⿜"/>
    <numFmt numFmtId="191" formatCode="0.000E+00"/>
    <numFmt numFmtId="192" formatCode="0.0000E+00"/>
    <numFmt numFmtId="193" formatCode="0.0000E+00;\㶜"/>
    <numFmt numFmtId="194" formatCode="0.0000E+00;\嶤"/>
    <numFmt numFmtId="195" formatCode="0.000E+00;\嶤"/>
    <numFmt numFmtId="196" formatCode="0.00000E+00"/>
    <numFmt numFmtId="197" formatCode="0.0E+00"/>
    <numFmt numFmtId="198" formatCode="0.00E+00;\嶤"/>
    <numFmt numFmtId="199" formatCode="0.000E+00;\֐"/>
    <numFmt numFmtId="200" formatCode="0.00E+00;\֐"/>
    <numFmt numFmtId="201" formatCode="#,##0.000"/>
    <numFmt numFmtId="202" formatCode="0.0000E+00;\ࣴ"/>
    <numFmt numFmtId="203" formatCode="0.000E+00;\ࣴ"/>
    <numFmt numFmtId="204" formatCode="0.00E+00;\ࣴ"/>
    <numFmt numFmtId="205" formatCode="_(&quot;$&quot;* #,##0_);_(&quot;$&quot;* \(#,##0\);_(&quot;$&quot;* &quot;-&quot;??_);_(@_)"/>
    <numFmt numFmtId="206" formatCode="&quot;$&quot;#,##0.00"/>
    <numFmt numFmtId="207" formatCode="0_);\(0\)"/>
    <numFmt numFmtId="208" formatCode="_(&quot;$&quot;* #,##0.0_);_(&quot;$&quot;* \(#,##0.0\);_(&quot;$&quot;* &quot;-&quot;??_);_(@_)"/>
    <numFmt numFmtId="209" formatCode="&quot;$&quot;#,##0"/>
    <numFmt numFmtId="210" formatCode="&quot;$&quot;#,##0.0"/>
    <numFmt numFmtId="211" formatCode="m/d"/>
    <numFmt numFmtId="212" formatCode="_(* #,##0.0_);_(* \(#,##0.0\);_(* &quot;-&quot;??_);_(@_)"/>
    <numFmt numFmtId="213" formatCode="_(* #,##0.0_);_(* \(#,##0.0\);_(* &quot;-&quot;?_);_(@_)"/>
    <numFmt numFmtId="214" formatCode="0.0000000000000000"/>
    <numFmt numFmtId="215" formatCode="0.000000000000000"/>
    <numFmt numFmtId="216" formatCode="0.00000000000000"/>
    <numFmt numFmtId="217" formatCode="0.0000000000000"/>
    <numFmt numFmtId="218" formatCode="_(* #,##0_);_(* \(#,##0\);_(* &quot;-&quot;??_);_(@_)"/>
    <numFmt numFmtId="219" formatCode="&quot;$&quot;#,##0.0_);[Red]\(&quot;$&quot;#,##0.0\)"/>
    <numFmt numFmtId="220" formatCode="0.0000E+00;\椘"/>
    <numFmt numFmtId="221" formatCode="0.0000E+00;\ᵸ"/>
    <numFmt numFmtId="222" formatCode="#,##0.0000"/>
    <numFmt numFmtId="223" formatCode="0.0000E+00;\ᚬ"/>
    <numFmt numFmtId="224" formatCode="0.0000E+00;\�"/>
    <numFmt numFmtId="225" formatCode="0.000E+00;\�"/>
    <numFmt numFmtId="226" formatCode="0.00E+00;\�"/>
    <numFmt numFmtId="227" formatCode="0.0E+00;\�"/>
    <numFmt numFmtId="228" formatCode="0.000000000000"/>
  </numFmts>
  <fonts count="4">
    <font>
      <sz val="10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73" fontId="0" fillId="0" borderId="0" xfId="0" applyNumberFormat="1" applyAlignment="1">
      <alignment/>
    </xf>
    <xf numFmtId="9" fontId="0" fillId="0" borderId="0" xfId="21" applyAlignment="1">
      <alignment/>
    </xf>
    <xf numFmtId="165" fontId="2" fillId="0" borderId="0" xfId="0" applyNumberFormat="1" applyFont="1" applyAlignment="1">
      <alignment/>
    </xf>
    <xf numFmtId="18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TETHER" xfId="19"/>
    <cellStyle name="Normal_Wiggle290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imeBui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alV"/>
      <sheetName val="SimData"/>
      <sheetName val="ShipDV"/>
      <sheetName val="Cost"/>
      <sheetName val="MXcosts"/>
      <sheetName val="Sheet1"/>
      <sheetName val="SSTTdev"/>
      <sheetName val="ISPMX"/>
      <sheetName val="DevEst"/>
      <sheetName val="GTOHall"/>
      <sheetName val="EDT90"/>
      <sheetName val="Hall"/>
      <sheetName val="Loss"/>
      <sheetName val="ISP"/>
      <sheetName val="BattCh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workbookViewId="0" topLeftCell="A1">
      <selection activeCell="C3" sqref="C3"/>
    </sheetView>
  </sheetViews>
  <sheetFormatPr defaultColWidth="9.140625" defaultRowHeight="12.75"/>
  <cols>
    <col min="4" max="4" width="12.421875" style="0" bestFit="1" customWidth="1"/>
    <col min="6" max="6" width="10.00390625" style="0" bestFit="1" customWidth="1"/>
    <col min="7" max="10" width="9.57421875" style="0" customWidth="1"/>
  </cols>
  <sheetData>
    <row r="1" spans="1:15" ht="12.75">
      <c r="A1" t="s">
        <v>60</v>
      </c>
      <c r="C1">
        <v>3500000</v>
      </c>
      <c r="D1" t="s">
        <v>0</v>
      </c>
      <c r="G1">
        <v>0</v>
      </c>
      <c r="H1" t="str">
        <f>P2</f>
        <v>Inclination</v>
      </c>
      <c r="L1">
        <v>215</v>
      </c>
      <c r="M1">
        <v>0.00017</v>
      </c>
      <c r="N1" t="s">
        <v>110</v>
      </c>
      <c r="O1">
        <v>0.029</v>
      </c>
    </row>
    <row r="2" spans="1:16" ht="12.75">
      <c r="A2" t="s">
        <v>1</v>
      </c>
      <c r="C2">
        <v>40</v>
      </c>
      <c r="D2" t="s">
        <v>2</v>
      </c>
      <c r="E2" t="s">
        <v>55</v>
      </c>
      <c r="F2">
        <v>12</v>
      </c>
      <c r="G2" t="s">
        <v>105</v>
      </c>
      <c r="I2" t="s">
        <v>103</v>
      </c>
      <c r="J2" s="1"/>
      <c r="M2">
        <v>983.008</v>
      </c>
      <c r="N2" t="s">
        <v>111</v>
      </c>
      <c r="O2">
        <f>G1</f>
        <v>0</v>
      </c>
      <c r="P2" t="s">
        <v>67</v>
      </c>
    </row>
    <row r="3" spans="1:16" ht="12.75">
      <c r="A3" t="s">
        <v>3</v>
      </c>
      <c r="C3" s="2">
        <f>AWGamp!J12</f>
        <v>135.2</v>
      </c>
      <c r="D3" t="s">
        <v>4</v>
      </c>
      <c r="E3" t="s">
        <v>70</v>
      </c>
      <c r="F3">
        <f>AWGamp!H12</f>
        <v>126</v>
      </c>
      <c r="G3" t="s">
        <v>59</v>
      </c>
      <c r="I3" t="s">
        <v>104</v>
      </c>
      <c r="J3" s="1"/>
      <c r="M3">
        <v>398580</v>
      </c>
      <c r="N3" t="s">
        <v>112</v>
      </c>
      <c r="O3">
        <f>O2/180*PI()</f>
        <v>0</v>
      </c>
      <c r="P3" t="s">
        <v>68</v>
      </c>
    </row>
    <row r="4" spans="1:16" ht="12.75">
      <c r="A4" t="s">
        <v>109</v>
      </c>
      <c r="E4" s="1"/>
      <c r="F4" t="s">
        <v>58</v>
      </c>
      <c r="G4" s="1"/>
      <c r="M4" s="8">
        <f>SQRT(M3)</f>
        <v>631.3319253768179</v>
      </c>
      <c r="N4" t="s">
        <v>113</v>
      </c>
      <c r="O4">
        <f>COS(O3)</f>
        <v>1</v>
      </c>
      <c r="P4" t="s">
        <v>69</v>
      </c>
    </row>
    <row r="5" spans="3:18" ht="12.75">
      <c r="C5" s="1" t="s">
        <v>5</v>
      </c>
      <c r="E5" s="1"/>
      <c r="L5">
        <f>215*O4</f>
        <v>215</v>
      </c>
      <c r="O5">
        <f>0.029*O4</f>
        <v>0.029</v>
      </c>
      <c r="R5" t="s">
        <v>6</v>
      </c>
    </row>
    <row r="6" spans="1:21" ht="12.75">
      <c r="A6" t="s">
        <v>7</v>
      </c>
      <c r="C6" t="s">
        <v>10</v>
      </c>
      <c r="D6" t="s">
        <v>9</v>
      </c>
      <c r="F6" t="s">
        <v>9</v>
      </c>
      <c r="H6" t="s">
        <v>63</v>
      </c>
      <c r="I6" t="s">
        <v>63</v>
      </c>
      <c r="K6">
        <v>6378.39</v>
      </c>
      <c r="L6" t="s">
        <v>8</v>
      </c>
      <c r="O6" t="s">
        <v>11</v>
      </c>
      <c r="S6" t="s">
        <v>12</v>
      </c>
      <c r="T6" t="s">
        <v>13</v>
      </c>
      <c r="U6" t="s">
        <v>14</v>
      </c>
    </row>
    <row r="7" spans="1:21" ht="12.75">
      <c r="A7" t="s">
        <v>15</v>
      </c>
      <c r="B7" t="s">
        <v>63</v>
      </c>
      <c r="C7" s="4"/>
      <c r="D7" s="3" t="s">
        <v>19</v>
      </c>
      <c r="E7" t="s">
        <v>20</v>
      </c>
      <c r="F7" t="s">
        <v>29</v>
      </c>
      <c r="G7" t="s">
        <v>20</v>
      </c>
      <c r="H7" t="s">
        <v>9</v>
      </c>
      <c r="I7" t="s">
        <v>62</v>
      </c>
      <c r="J7" t="s">
        <v>21</v>
      </c>
      <c r="K7" t="s">
        <v>16</v>
      </c>
      <c r="L7" t="s">
        <v>17</v>
      </c>
      <c r="M7" t="s">
        <v>114</v>
      </c>
      <c r="N7" t="s">
        <v>18</v>
      </c>
      <c r="O7" s="5" t="s">
        <v>22</v>
      </c>
      <c r="P7" s="4" t="s">
        <v>23</v>
      </c>
      <c r="R7" s="4"/>
      <c r="S7" s="4" t="s">
        <v>24</v>
      </c>
      <c r="T7" s="4" t="s">
        <v>24</v>
      </c>
      <c r="U7" s="4" t="s">
        <v>24</v>
      </c>
    </row>
    <row r="8" spans="1:22" ht="12.75">
      <c r="A8">
        <f aca="true" t="shared" si="0" ref="A8:A21">50+A9</f>
        <v>900</v>
      </c>
      <c r="B8" s="2">
        <f aca="true" t="shared" si="1" ref="B8:B22">L8*$C$2</f>
        <v>5419.322765025764</v>
      </c>
      <c r="C8" s="2">
        <f aca="true" t="shared" si="2" ref="C8:C22">(B8+P8)/2</f>
        <v>24630.935633976493</v>
      </c>
      <c r="D8" s="6">
        <f aca="true" t="shared" si="3" ref="D8:D22">(C8-B8)/C$3</f>
        <v>142.0977283206415</v>
      </c>
      <c r="E8" s="6">
        <f aca="true" t="shared" si="4" ref="E8:E22">$C$2*D8*$N8</f>
        <v>110.9538000917067</v>
      </c>
      <c r="F8" s="6">
        <f aca="true" t="shared" si="5" ref="F8:F22">MIN(B8/C$3+G$29,F$3)</f>
        <v>126</v>
      </c>
      <c r="G8" s="6">
        <f aca="true" t="shared" si="6" ref="G8:G22">$C$2*F8*$N8</f>
        <v>98.38425270254123</v>
      </c>
      <c r="H8" s="6">
        <f aca="true" t="shared" si="7" ref="H8:H22">B8/C$3</f>
        <v>40.08374826202488</v>
      </c>
      <c r="I8" s="2">
        <f aca="true" t="shared" si="8" ref="I8:I22">B8*B8/C$3</f>
        <v>217226.7694639534</v>
      </c>
      <c r="J8" s="9">
        <f aca="true" t="shared" si="9" ref="J8:J22">F8/D8</f>
        <v>0.8867136828231539</v>
      </c>
      <c r="K8">
        <f aca="true" t="shared" si="10" ref="K8:K22">ROUND(A8+K$6,0)</f>
        <v>7278</v>
      </c>
      <c r="L8" s="6">
        <f aca="true" t="shared" si="11" ref="L8:L22">L$5*(EXP(LN(K$6/K8)*3.5))</f>
        <v>135.4830691256441</v>
      </c>
      <c r="M8" s="8">
        <f aca="true" t="shared" si="12" ref="M8:M22">M$4/SQRT(K8)</f>
        <v>7.400340893643141</v>
      </c>
      <c r="N8" s="7">
        <f aca="true" t="shared" si="13" ref="N8:N22">O$5*EXP(LN(K$6/K8)*3)</f>
        <v>0.019520685060028024</v>
      </c>
      <c r="P8" s="6">
        <f aca="true" t="shared" si="14" ref="P8:P22">SQRT(B8*B8+P$23)</f>
        <v>43842.548502927224</v>
      </c>
      <c r="R8" s="8">
        <f aca="true" t="shared" si="15" ref="R8:R22">$C$2*21*$N8</f>
        <v>16.39737545042354</v>
      </c>
      <c r="S8" s="10">
        <f aca="true" t="shared" si="16" ref="S8:S22">N8/N$18</f>
        <v>0.8077343267828553</v>
      </c>
      <c r="T8" s="10">
        <f aca="true" t="shared" si="17" ref="T8:T22">E8/E$18</f>
        <v>0.8364088888891735</v>
      </c>
      <c r="U8" s="10">
        <f aca="true" t="shared" si="18" ref="U8:U22">F8/F$18</f>
        <v>1</v>
      </c>
      <c r="V8">
        <f aca="true" t="shared" si="19" ref="V8:V22">A8</f>
        <v>900</v>
      </c>
    </row>
    <row r="9" spans="1:22" ht="12.75">
      <c r="A9">
        <f t="shared" si="0"/>
        <v>850</v>
      </c>
      <c r="B9" s="2">
        <f t="shared" si="1"/>
        <v>5551.670642631166</v>
      </c>
      <c r="C9" s="2">
        <f t="shared" si="2"/>
        <v>24705.38756779483</v>
      </c>
      <c r="D9" s="6">
        <f t="shared" si="3"/>
        <v>141.66950388434665</v>
      </c>
      <c r="E9" s="6">
        <f t="shared" si="4"/>
        <v>112.93099151939695</v>
      </c>
      <c r="F9" s="6">
        <f t="shared" si="5"/>
        <v>126</v>
      </c>
      <c r="G9" s="6">
        <f t="shared" si="6"/>
        <v>100.44014090047392</v>
      </c>
      <c r="H9" s="6">
        <f t="shared" si="7"/>
        <v>41.062652682183185</v>
      </c>
      <c r="I9" s="2">
        <f t="shared" si="8"/>
        <v>227966.32340423626</v>
      </c>
      <c r="J9" s="9">
        <f t="shared" si="9"/>
        <v>0.889393952440614</v>
      </c>
      <c r="K9">
        <f t="shared" si="10"/>
        <v>7228</v>
      </c>
      <c r="L9" s="6">
        <f t="shared" si="11"/>
        <v>138.79176606577914</v>
      </c>
      <c r="M9" s="8">
        <f t="shared" si="12"/>
        <v>7.42589286834158</v>
      </c>
      <c r="N9" s="7">
        <f t="shared" si="13"/>
        <v>0.019928599385014668</v>
      </c>
      <c r="P9" s="6">
        <f t="shared" si="14"/>
        <v>43859.1044929585</v>
      </c>
      <c r="R9" s="8">
        <f t="shared" si="15"/>
        <v>16.740023483412322</v>
      </c>
      <c r="S9" s="10">
        <f t="shared" si="16"/>
        <v>0.8246131607820191</v>
      </c>
      <c r="T9" s="10">
        <f t="shared" si="17"/>
        <v>0.8513136554117148</v>
      </c>
      <c r="U9" s="10">
        <f t="shared" si="18"/>
        <v>1</v>
      </c>
      <c r="V9">
        <f t="shared" si="19"/>
        <v>850</v>
      </c>
    </row>
    <row r="10" spans="1:22" ht="12.75">
      <c r="A10">
        <f t="shared" si="0"/>
        <v>800</v>
      </c>
      <c r="B10" s="2">
        <f t="shared" si="1"/>
        <v>5688.203273795472</v>
      </c>
      <c r="C10" s="2">
        <f t="shared" si="2"/>
        <v>24782.399522581672</v>
      </c>
      <c r="D10" s="6">
        <f t="shared" si="3"/>
        <v>141.2292621951642</v>
      </c>
      <c r="E10" s="6">
        <f t="shared" si="4"/>
        <v>114.94908751951714</v>
      </c>
      <c r="F10" s="6">
        <f t="shared" si="5"/>
        <v>126</v>
      </c>
      <c r="G10" s="6">
        <f t="shared" si="6"/>
        <v>102.55371161993571</v>
      </c>
      <c r="H10" s="6">
        <f t="shared" si="7"/>
        <v>42.07250942156415</v>
      </c>
      <c r="I10" s="2">
        <f t="shared" si="8"/>
        <v>239316.98582853202</v>
      </c>
      <c r="J10" s="9">
        <f t="shared" si="9"/>
        <v>0.8921663828129404</v>
      </c>
      <c r="K10">
        <f t="shared" si="10"/>
        <v>7178</v>
      </c>
      <c r="L10" s="6">
        <f t="shared" si="11"/>
        <v>142.20508184488682</v>
      </c>
      <c r="M10" s="8">
        <f t="shared" si="12"/>
        <v>7.451711362434347</v>
      </c>
      <c r="N10" s="7">
        <f t="shared" si="13"/>
        <v>0.02034795865474915</v>
      </c>
      <c r="P10" s="6">
        <f t="shared" si="14"/>
        <v>43876.59577136787</v>
      </c>
      <c r="R10" s="8">
        <f t="shared" si="15"/>
        <v>17.092285269989286</v>
      </c>
      <c r="S10" s="10">
        <f t="shared" si="16"/>
        <v>0.8419655680555088</v>
      </c>
      <c r="T10" s="10">
        <f t="shared" si="17"/>
        <v>0.866526775032107</v>
      </c>
      <c r="U10" s="10">
        <f t="shared" si="18"/>
        <v>1</v>
      </c>
      <c r="V10">
        <f t="shared" si="19"/>
        <v>800</v>
      </c>
    </row>
    <row r="11" spans="1:22" ht="12.75">
      <c r="A11">
        <f t="shared" si="0"/>
        <v>750</v>
      </c>
      <c r="B11" s="2">
        <f t="shared" si="1"/>
        <v>5829.083524653917</v>
      </c>
      <c r="C11" s="2">
        <f t="shared" si="2"/>
        <v>24862.0827107874</v>
      </c>
      <c r="D11" s="6">
        <f t="shared" si="3"/>
        <v>140.77662119921214</v>
      </c>
      <c r="E11" s="6">
        <f t="shared" si="4"/>
        <v>117.00883738749626</v>
      </c>
      <c r="F11" s="6">
        <f t="shared" si="5"/>
        <v>126</v>
      </c>
      <c r="G11" s="6">
        <f t="shared" si="6"/>
        <v>104.7270021487562</v>
      </c>
      <c r="H11" s="6">
        <f t="shared" si="7"/>
        <v>43.11452311134555</v>
      </c>
      <c r="I11" s="2">
        <f t="shared" si="8"/>
        <v>251318.15634165486</v>
      </c>
      <c r="J11" s="9">
        <f t="shared" si="9"/>
        <v>0.8950349775883466</v>
      </c>
      <c r="K11">
        <f t="shared" si="10"/>
        <v>7128</v>
      </c>
      <c r="L11" s="6">
        <f t="shared" si="11"/>
        <v>145.72708811634794</v>
      </c>
      <c r="M11" s="8">
        <f t="shared" si="12"/>
        <v>7.477801041583576</v>
      </c>
      <c r="N11" s="7">
        <f t="shared" si="13"/>
        <v>0.020779167093007183</v>
      </c>
      <c r="P11" s="6">
        <f t="shared" si="14"/>
        <v>43895.081896920885</v>
      </c>
      <c r="R11" s="8">
        <f t="shared" si="15"/>
        <v>17.454500358126033</v>
      </c>
      <c r="S11" s="10">
        <f t="shared" si="16"/>
        <v>0.8598082747283728</v>
      </c>
      <c r="T11" s="10">
        <f t="shared" si="17"/>
        <v>0.8820538962036405</v>
      </c>
      <c r="U11" s="10">
        <f t="shared" si="18"/>
        <v>1</v>
      </c>
      <c r="V11">
        <f t="shared" si="19"/>
        <v>750</v>
      </c>
    </row>
    <row r="12" spans="1:22" ht="12.75">
      <c r="A12">
        <f t="shared" si="0"/>
        <v>700</v>
      </c>
      <c r="B12" s="2">
        <f t="shared" si="1"/>
        <v>5974.481805691813</v>
      </c>
      <c r="C12" s="2">
        <f t="shared" si="2"/>
        <v>24944.55422236739</v>
      </c>
      <c r="D12" s="6">
        <f t="shared" si="3"/>
        <v>140.31118651387263</v>
      </c>
      <c r="E12" s="6">
        <f t="shared" si="4"/>
        <v>119.11098664473585</v>
      </c>
      <c r="F12" s="6">
        <f t="shared" si="5"/>
        <v>126</v>
      </c>
      <c r="G12" s="6">
        <f t="shared" si="6"/>
        <v>106.9621367342145</v>
      </c>
      <c r="H12" s="6">
        <f t="shared" si="7"/>
        <v>44.189954184111045</v>
      </c>
      <c r="I12" s="2">
        <f t="shared" si="8"/>
        <v>264012.07726732624</v>
      </c>
      <c r="J12" s="9">
        <f t="shared" si="9"/>
        <v>0.8980039520052261</v>
      </c>
      <c r="K12">
        <f t="shared" si="10"/>
        <v>7078</v>
      </c>
      <c r="L12" s="6">
        <f t="shared" si="11"/>
        <v>149.36204514229533</v>
      </c>
      <c r="M12" s="8">
        <f t="shared" si="12"/>
        <v>7.504166686605251</v>
      </c>
      <c r="N12" s="7">
        <f t="shared" si="13"/>
        <v>0.02122264617742351</v>
      </c>
      <c r="P12" s="6">
        <f t="shared" si="14"/>
        <v>43914.62663904297</v>
      </c>
      <c r="R12" s="8">
        <f t="shared" si="15"/>
        <v>17.827022789035748</v>
      </c>
      <c r="S12" s="10">
        <f t="shared" si="16"/>
        <v>0.8781587208623972</v>
      </c>
      <c r="T12" s="10">
        <f t="shared" si="17"/>
        <v>0.8979006389296553</v>
      </c>
      <c r="U12" s="10">
        <f t="shared" si="18"/>
        <v>1</v>
      </c>
      <c r="V12">
        <f t="shared" si="19"/>
        <v>700</v>
      </c>
    </row>
    <row r="13" spans="1:22" ht="12.75">
      <c r="A13">
        <f t="shared" si="0"/>
        <v>650</v>
      </c>
      <c r="B13" s="2">
        <f t="shared" si="1"/>
        <v>6124.576477871896</v>
      </c>
      <c r="C13" s="2">
        <f t="shared" si="2"/>
        <v>25029.937390775693</v>
      </c>
      <c r="D13" s="6">
        <f t="shared" si="3"/>
        <v>139.83255113094526</v>
      </c>
      <c r="E13" s="6">
        <f t="shared" si="4"/>
        <v>121.25627496763452</v>
      </c>
      <c r="F13" s="6">
        <f t="shared" si="5"/>
        <v>126</v>
      </c>
      <c r="G13" s="6">
        <f t="shared" si="6"/>
        <v>109.26133094442864</v>
      </c>
      <c r="H13" s="6">
        <f t="shared" si="7"/>
        <v>45.30012187775071</v>
      </c>
      <c r="I13" s="2">
        <f t="shared" si="8"/>
        <v>277444.06089720206</v>
      </c>
      <c r="J13" s="9">
        <f t="shared" si="9"/>
        <v>0.9010777460679248</v>
      </c>
      <c r="K13">
        <f t="shared" si="10"/>
        <v>7028</v>
      </c>
      <c r="L13" s="6">
        <f t="shared" si="11"/>
        <v>153.1144119467974</v>
      </c>
      <c r="M13" s="8">
        <f t="shared" si="12"/>
        <v>7.5308131971493335</v>
      </c>
      <c r="N13" s="7">
        <f t="shared" si="13"/>
        <v>0.021678835504846953</v>
      </c>
      <c r="P13" s="6">
        <f t="shared" si="14"/>
        <v>43935.29830367949</v>
      </c>
      <c r="R13" s="8">
        <f t="shared" si="15"/>
        <v>18.21022182407144</v>
      </c>
      <c r="S13" s="10">
        <f t="shared" si="16"/>
        <v>0.8970350962630959</v>
      </c>
      <c r="T13" s="10">
        <f t="shared" si="17"/>
        <v>0.9140725791517976</v>
      </c>
      <c r="U13" s="10">
        <f t="shared" si="18"/>
        <v>1</v>
      </c>
      <c r="V13">
        <f t="shared" si="19"/>
        <v>650</v>
      </c>
    </row>
    <row r="14" spans="1:22" ht="12.75">
      <c r="A14">
        <f t="shared" si="0"/>
        <v>600</v>
      </c>
      <c r="B14" s="2">
        <f t="shared" si="1"/>
        <v>6279.554283718152</v>
      </c>
      <c r="C14" s="2">
        <f t="shared" si="2"/>
        <v>25118.36218504465</v>
      </c>
      <c r="D14" s="6">
        <f t="shared" si="3"/>
        <v>139.3402951281546</v>
      </c>
      <c r="E14" s="6">
        <f t="shared" si="4"/>
        <v>123.44543390563034</v>
      </c>
      <c r="F14" s="6">
        <f t="shared" si="5"/>
        <v>126</v>
      </c>
      <c r="G14" s="6">
        <f t="shared" si="6"/>
        <v>111.62689628153811</v>
      </c>
      <c r="H14" s="6">
        <f t="shared" si="7"/>
        <v>46.44640742395083</v>
      </c>
      <c r="I14" s="2">
        <f t="shared" si="8"/>
        <v>291662.736702389</v>
      </c>
      <c r="J14" s="9">
        <f t="shared" si="9"/>
        <v>0.9042610386616075</v>
      </c>
      <c r="K14">
        <f t="shared" si="10"/>
        <v>6978</v>
      </c>
      <c r="L14" s="6">
        <f t="shared" si="11"/>
        <v>156.9888570929538</v>
      </c>
      <c r="M14" s="8">
        <f t="shared" si="12"/>
        <v>7.55774559552466</v>
      </c>
      <c r="N14" s="7">
        <f t="shared" si="13"/>
        <v>0.022148193706654388</v>
      </c>
      <c r="P14" s="6">
        <f t="shared" si="14"/>
        <v>43957.17008637115</v>
      </c>
      <c r="R14" s="8">
        <f t="shared" si="15"/>
        <v>18.604482713589686</v>
      </c>
      <c r="S14" s="10">
        <f t="shared" si="16"/>
        <v>0.9164563783539199</v>
      </c>
      <c r="T14" s="10">
        <f t="shared" si="17"/>
        <v>0.9305752315478172</v>
      </c>
      <c r="U14" s="10">
        <f t="shared" si="18"/>
        <v>1</v>
      </c>
      <c r="V14">
        <f t="shared" si="19"/>
        <v>600</v>
      </c>
    </row>
    <row r="15" spans="1:22" ht="12.75">
      <c r="A15">
        <f t="shared" si="0"/>
        <v>550</v>
      </c>
      <c r="B15" s="2">
        <f t="shared" si="1"/>
        <v>6439.610805082648</v>
      </c>
      <c r="C15" s="16">
        <f t="shared" si="2"/>
        <v>25209.96563002112</v>
      </c>
      <c r="D15" s="13">
        <f t="shared" si="3"/>
        <v>138.83398539155675</v>
      </c>
      <c r="E15" s="13">
        <f t="shared" si="4"/>
        <v>125.67918437174936</v>
      </c>
      <c r="F15" s="13">
        <f t="shared" si="5"/>
        <v>126</v>
      </c>
      <c r="G15" s="13">
        <f t="shared" si="6"/>
        <v>114.061245063152</v>
      </c>
      <c r="H15" s="13">
        <f t="shared" si="7"/>
        <v>47.63025743404326</v>
      </c>
      <c r="I15" s="2">
        <f t="shared" si="8"/>
        <v>306720.3204211331</v>
      </c>
      <c r="J15" s="9">
        <f t="shared" si="9"/>
        <v>0.9075587626807603</v>
      </c>
      <c r="K15">
        <f t="shared" si="10"/>
        <v>6928</v>
      </c>
      <c r="L15" s="6">
        <f t="shared" si="11"/>
        <v>160.9902701270662</v>
      </c>
      <c r="M15" s="8">
        <f t="shared" si="12"/>
        <v>7.584969030675396</v>
      </c>
      <c r="N15" s="7">
        <f t="shared" si="13"/>
        <v>0.022631199417292063</v>
      </c>
      <c r="P15" s="6">
        <f t="shared" si="14"/>
        <v>43980.32045495959</v>
      </c>
      <c r="R15" s="8">
        <f t="shared" si="15"/>
        <v>19.010207510525333</v>
      </c>
      <c r="S15" s="10">
        <f t="shared" si="16"/>
        <v>0.9364423722529289</v>
      </c>
      <c r="T15" s="10">
        <f t="shared" si="17"/>
        <v>0.9474140306144382</v>
      </c>
      <c r="U15" s="10">
        <f t="shared" si="18"/>
        <v>1</v>
      </c>
      <c r="V15">
        <f t="shared" si="19"/>
        <v>550</v>
      </c>
    </row>
    <row r="16" spans="1:22" ht="12.75">
      <c r="A16">
        <f t="shared" si="0"/>
        <v>500</v>
      </c>
      <c r="B16" s="2">
        <f t="shared" si="1"/>
        <v>6604.950949454761</v>
      </c>
      <c r="C16" s="2">
        <f t="shared" si="2"/>
        <v>25304.892257007814</v>
      </c>
      <c r="D16" s="6">
        <f t="shared" si="3"/>
        <v>138.31317535172377</v>
      </c>
      <c r="E16" s="6">
        <f t="shared" si="4"/>
        <v>127.95823388817418</v>
      </c>
      <c r="F16" s="6">
        <f t="shared" si="5"/>
        <v>126</v>
      </c>
      <c r="G16" s="6">
        <f t="shared" si="6"/>
        <v>116.56689558974116</v>
      </c>
      <c r="H16" s="6">
        <f t="shared" si="7"/>
        <v>48.85318749596717</v>
      </c>
      <c r="I16" s="2">
        <f t="shared" si="8"/>
        <v>322672.90713537985</v>
      </c>
      <c r="J16" s="9">
        <f t="shared" si="9"/>
        <v>0.9109761212522816</v>
      </c>
      <c r="K16">
        <f t="shared" si="10"/>
        <v>6878</v>
      </c>
      <c r="L16" s="6">
        <f t="shared" si="11"/>
        <v>165.12377373636903</v>
      </c>
      <c r="M16" s="8">
        <f t="shared" si="12"/>
        <v>7.612488782316189</v>
      </c>
      <c r="N16" s="7">
        <f t="shared" si="13"/>
        <v>0.02312835229955182</v>
      </c>
      <c r="P16" s="6">
        <f t="shared" si="14"/>
        <v>44004.83356456087</v>
      </c>
      <c r="R16" s="8">
        <f t="shared" si="15"/>
        <v>19.427815931623527</v>
      </c>
      <c r="S16" s="10">
        <f t="shared" si="16"/>
        <v>0.9570137531970598</v>
      </c>
      <c r="T16" s="10">
        <f t="shared" si="17"/>
        <v>0.9645943099034824</v>
      </c>
      <c r="U16" s="10">
        <f t="shared" si="18"/>
        <v>1</v>
      </c>
      <c r="V16">
        <f t="shared" si="19"/>
        <v>500</v>
      </c>
    </row>
    <row r="17" spans="1:22" ht="12.75">
      <c r="A17">
        <f t="shared" si="0"/>
        <v>450</v>
      </c>
      <c r="B17" s="2">
        <f t="shared" si="1"/>
        <v>6775.7894668165245</v>
      </c>
      <c r="C17" s="2">
        <f t="shared" si="2"/>
        <v>25403.294587252738</v>
      </c>
      <c r="D17" s="6">
        <f t="shared" si="3"/>
        <v>137.77740473695425</v>
      </c>
      <c r="E17" s="6">
        <f t="shared" si="4"/>
        <v>130.28327356836502</v>
      </c>
      <c r="F17" s="6">
        <f t="shared" si="5"/>
        <v>126</v>
      </c>
      <c r="G17" s="6">
        <f t="shared" si="6"/>
        <v>119.14647761695733</v>
      </c>
      <c r="H17" s="6">
        <f t="shared" si="7"/>
        <v>50.116785997163646</v>
      </c>
      <c r="I17" s="2">
        <f t="shared" si="8"/>
        <v>339580.7906702793</v>
      </c>
      <c r="J17" s="9">
        <f t="shared" si="9"/>
        <v>0.9145186051410986</v>
      </c>
      <c r="K17">
        <f t="shared" si="10"/>
        <v>6828</v>
      </c>
      <c r="L17" s="6">
        <f t="shared" si="11"/>
        <v>169.39473667041312</v>
      </c>
      <c r="M17" s="8">
        <f t="shared" si="12"/>
        <v>7.640310265233565</v>
      </c>
      <c r="N17" s="7">
        <f t="shared" si="13"/>
        <v>0.023640174130348676</v>
      </c>
      <c r="P17" s="6">
        <f t="shared" si="14"/>
        <v>44030.79970768895</v>
      </c>
      <c r="R17" s="8">
        <f t="shared" si="15"/>
        <v>19.85774626949289</v>
      </c>
      <c r="S17" s="10">
        <f t="shared" si="16"/>
        <v>0.9781921114698444</v>
      </c>
      <c r="T17" s="10">
        <f t="shared" si="17"/>
        <v>0.9821212792720332</v>
      </c>
      <c r="U17" s="10">
        <f t="shared" si="18"/>
        <v>1</v>
      </c>
      <c r="V17">
        <f t="shared" si="19"/>
        <v>450</v>
      </c>
    </row>
    <row r="18" spans="1:22" ht="12.75">
      <c r="A18">
        <f t="shared" si="0"/>
        <v>400</v>
      </c>
      <c r="B18" s="2">
        <f t="shared" si="1"/>
        <v>6952.351499204424</v>
      </c>
      <c r="C18" s="2">
        <f t="shared" si="2"/>
        <v>25505.33365094112</v>
      </c>
      <c r="D18" s="6">
        <f t="shared" si="3"/>
        <v>137.2261993471649</v>
      </c>
      <c r="E18" s="15">
        <f t="shared" si="4"/>
        <v>132.65497481628077</v>
      </c>
      <c r="F18" s="15">
        <f t="shared" si="5"/>
        <v>126</v>
      </c>
      <c r="G18" s="15">
        <f t="shared" si="6"/>
        <v>121.8027381532716</v>
      </c>
      <c r="H18" s="6">
        <f t="shared" si="7"/>
        <v>51.42271818938184</v>
      </c>
      <c r="I18" s="2">
        <f t="shared" si="8"/>
        <v>357508.81189711543</v>
      </c>
      <c r="J18" s="9">
        <f t="shared" si="9"/>
        <v>0.9181920114338804</v>
      </c>
      <c r="K18">
        <f t="shared" si="10"/>
        <v>6778</v>
      </c>
      <c r="L18" s="6">
        <f t="shared" si="11"/>
        <v>173.8087874801106</v>
      </c>
      <c r="M18" s="8">
        <f t="shared" si="12"/>
        <v>7.668439033761535</v>
      </c>
      <c r="N18" s="7">
        <f t="shared" si="13"/>
        <v>0.024167209951045952</v>
      </c>
      <c r="P18" s="6">
        <f t="shared" si="14"/>
        <v>44058.31580267782</v>
      </c>
      <c r="R18" s="8">
        <f t="shared" si="15"/>
        <v>20.3004563588786</v>
      </c>
      <c r="S18" s="10">
        <f t="shared" si="16"/>
        <v>1</v>
      </c>
      <c r="T18" s="10">
        <f t="shared" si="17"/>
        <v>1</v>
      </c>
      <c r="U18" s="10">
        <f t="shared" si="18"/>
        <v>1</v>
      </c>
      <c r="V18">
        <f t="shared" si="19"/>
        <v>400</v>
      </c>
    </row>
    <row r="19" spans="1:22" ht="12.75">
      <c r="A19">
        <f t="shared" si="0"/>
        <v>350</v>
      </c>
      <c r="B19" s="2">
        <f t="shared" si="1"/>
        <v>7134.8731653081195</v>
      </c>
      <c r="C19" s="2">
        <f t="shared" si="2"/>
        <v>25611.17954457544</v>
      </c>
      <c r="D19" s="6">
        <f t="shared" si="3"/>
        <v>136.65907085256896</v>
      </c>
      <c r="E19" s="6">
        <f t="shared" si="4"/>
        <v>135.073985722283</v>
      </c>
      <c r="F19" s="6">
        <f t="shared" si="5"/>
        <v>126</v>
      </c>
      <c r="G19" s="6">
        <f t="shared" si="6"/>
        <v>124.53854760485315</v>
      </c>
      <c r="H19" s="6">
        <f t="shared" si="7"/>
        <v>52.77273051263403</v>
      </c>
      <c r="I19" s="2">
        <f t="shared" si="8"/>
        <v>376526.73879462946</v>
      </c>
      <c r="J19" s="9">
        <f t="shared" si="9"/>
        <v>0.9220024636047158</v>
      </c>
      <c r="K19">
        <f t="shared" si="10"/>
        <v>6728</v>
      </c>
      <c r="L19" s="6">
        <f t="shared" si="11"/>
        <v>178.371829132703</v>
      </c>
      <c r="M19" s="8">
        <f t="shared" si="12"/>
        <v>7.696880786439783</v>
      </c>
      <c r="N19" s="7">
        <f t="shared" si="13"/>
        <v>0.02471002928667721</v>
      </c>
      <c r="P19" s="6">
        <f t="shared" si="14"/>
        <v>44087.48592384276</v>
      </c>
      <c r="R19" s="8">
        <f t="shared" si="15"/>
        <v>20.756424600808856</v>
      </c>
      <c r="S19" s="10">
        <f t="shared" si="16"/>
        <v>1.022460984810858</v>
      </c>
      <c r="T19" s="10">
        <f t="shared" si="17"/>
        <v>1.0182353576211705</v>
      </c>
      <c r="U19" s="10">
        <f t="shared" si="18"/>
        <v>1</v>
      </c>
      <c r="V19">
        <f t="shared" si="19"/>
        <v>350</v>
      </c>
    </row>
    <row r="20" spans="1:22" ht="12.75">
      <c r="A20">
        <f t="shared" si="0"/>
        <v>300</v>
      </c>
      <c r="B20" s="2">
        <f t="shared" si="1"/>
        <v>7323.6021826214455</v>
      </c>
      <c r="C20" s="2">
        <f t="shared" si="2"/>
        <v>25721.01202988068</v>
      </c>
      <c r="D20" s="6">
        <f t="shared" si="3"/>
        <v>136.07551662173992</v>
      </c>
      <c r="E20" s="6">
        <f t="shared" si="4"/>
        <v>137.5409271343629</v>
      </c>
      <c r="F20" s="6">
        <f t="shared" si="5"/>
        <v>126</v>
      </c>
      <c r="G20" s="6">
        <f t="shared" si="6"/>
        <v>127.35690629126003</v>
      </c>
      <c r="H20" s="6">
        <f t="shared" si="7"/>
        <v>54.16865519690419</v>
      </c>
      <c r="I20" s="2">
        <f t="shared" si="8"/>
        <v>396709.68142971606</v>
      </c>
      <c r="J20" s="9">
        <f t="shared" si="9"/>
        <v>0.9259564330757042</v>
      </c>
      <c r="K20">
        <f t="shared" si="10"/>
        <v>6678</v>
      </c>
      <c r="L20" s="6">
        <f t="shared" si="11"/>
        <v>183.09005456553615</v>
      </c>
      <c r="M20" s="8">
        <f t="shared" si="12"/>
        <v>7.725641370863326</v>
      </c>
      <c r="N20" s="7">
        <f t="shared" si="13"/>
        <v>0.02526922743874207</v>
      </c>
      <c r="P20" s="6">
        <f t="shared" si="14"/>
        <v>44118.42187713991</v>
      </c>
      <c r="R20" s="8">
        <f t="shared" si="15"/>
        <v>21.226151048543336</v>
      </c>
      <c r="S20" s="10">
        <f t="shared" si="16"/>
        <v>1.0455996985141605</v>
      </c>
      <c r="T20" s="10">
        <f t="shared" si="17"/>
        <v>1.0368320323067333</v>
      </c>
      <c r="U20" s="10">
        <f t="shared" si="18"/>
        <v>1</v>
      </c>
      <c r="V20">
        <f t="shared" si="19"/>
        <v>300</v>
      </c>
    </row>
    <row r="21" spans="1:22" ht="12.75">
      <c r="A21">
        <f t="shared" si="0"/>
        <v>250</v>
      </c>
      <c r="B21" s="2">
        <f t="shared" si="1"/>
        <v>7518.798529862228</v>
      </c>
      <c r="C21" s="2">
        <f t="shared" si="2"/>
        <v>25835.02117764661</v>
      </c>
      <c r="D21" s="6">
        <f t="shared" si="3"/>
        <v>135.475019584204</v>
      </c>
      <c r="E21" s="6">
        <f t="shared" si="4"/>
        <v>140.05638838244764</v>
      </c>
      <c r="F21" s="6">
        <f t="shared" si="5"/>
        <v>126</v>
      </c>
      <c r="G21" s="6">
        <f t="shared" si="6"/>
        <v>130.2609513573084</v>
      </c>
      <c r="H21" s="6">
        <f t="shared" si="7"/>
        <v>55.61241516170288</v>
      </c>
      <c r="I21" s="2">
        <f t="shared" si="8"/>
        <v>418138.54535989946</v>
      </c>
      <c r="J21" s="9">
        <f t="shared" si="9"/>
        <v>0.930060762395278</v>
      </c>
      <c r="K21">
        <f t="shared" si="10"/>
        <v>6628</v>
      </c>
      <c r="L21" s="6">
        <f t="shared" si="11"/>
        <v>187.9699632465557</v>
      </c>
      <c r="M21" s="8">
        <f t="shared" si="12"/>
        <v>7.754726788733036</v>
      </c>
      <c r="N21" s="7">
        <f t="shared" si="13"/>
        <v>0.02584542685660881</v>
      </c>
      <c r="P21" s="6">
        <f t="shared" si="14"/>
        <v>44151.24382543099</v>
      </c>
      <c r="R21" s="8">
        <f t="shared" si="15"/>
        <v>21.7101585595514</v>
      </c>
      <c r="S21" s="10">
        <f t="shared" si="16"/>
        <v>1.0694418970564794</v>
      </c>
      <c r="T21" s="10">
        <f t="shared" si="17"/>
        <v>1.0557944666335912</v>
      </c>
      <c r="U21" s="10">
        <f t="shared" si="18"/>
        <v>1</v>
      </c>
      <c r="V21">
        <f t="shared" si="19"/>
        <v>250</v>
      </c>
    </row>
    <row r="22" spans="1:22" ht="12.75">
      <c r="A22">
        <v>200</v>
      </c>
      <c r="B22" s="2">
        <f t="shared" si="1"/>
        <v>7720.735152596239</v>
      </c>
      <c r="C22" s="2">
        <f t="shared" si="2"/>
        <v>25953.408060218248</v>
      </c>
      <c r="D22" s="6">
        <f t="shared" si="3"/>
        <v>134.8570481332989</v>
      </c>
      <c r="E22" s="6">
        <f t="shared" si="4"/>
        <v>142.620922632722</v>
      </c>
      <c r="F22" s="6">
        <f t="shared" si="5"/>
        <v>126</v>
      </c>
      <c r="G22" s="6">
        <f t="shared" si="6"/>
        <v>133.25396410842663</v>
      </c>
      <c r="H22" s="6">
        <f t="shared" si="7"/>
        <v>57.106029235179285</v>
      </c>
      <c r="I22" s="2">
        <f t="shared" si="8"/>
        <v>440900.5273412372</v>
      </c>
      <c r="J22" s="9">
        <f t="shared" si="9"/>
        <v>0.9343226901678571</v>
      </c>
      <c r="K22">
        <f t="shared" si="10"/>
        <v>6578</v>
      </c>
      <c r="L22" s="6">
        <f t="shared" si="11"/>
        <v>193.01837881490596</v>
      </c>
      <c r="M22" s="8">
        <f t="shared" si="12"/>
        <v>7.784143201116875</v>
      </c>
      <c r="N22" s="7">
        <f t="shared" si="13"/>
        <v>0.02643927859294179</v>
      </c>
      <c r="P22" s="6">
        <f t="shared" si="14"/>
        <v>44186.08096784026</v>
      </c>
      <c r="R22" s="8">
        <f t="shared" si="15"/>
        <v>22.208994018071103</v>
      </c>
      <c r="S22" s="10">
        <f t="shared" si="16"/>
        <v>1.0940145199424438</v>
      </c>
      <c r="T22" s="10">
        <f t="shared" si="17"/>
        <v>1.075126830563599</v>
      </c>
      <c r="U22" s="10">
        <f t="shared" si="18"/>
        <v>1</v>
      </c>
      <c r="V22">
        <f t="shared" si="19"/>
        <v>200</v>
      </c>
    </row>
    <row r="23" spans="3:18" ht="12.75">
      <c r="C23" s="6"/>
      <c r="D23" s="7"/>
      <c r="E23" s="10"/>
      <c r="I23" s="6"/>
      <c r="J23" s="6"/>
      <c r="K23" s="10"/>
      <c r="L23" s="8"/>
      <c r="M23" s="6"/>
      <c r="O23" t="s">
        <v>25</v>
      </c>
      <c r="P23">
        <f>C1*C3*4</f>
        <v>1892799999.9999998</v>
      </c>
      <c r="R23" s="8"/>
    </row>
    <row r="24" spans="1:18" ht="12.75">
      <c r="A24" t="s">
        <v>26</v>
      </c>
      <c r="C24" s="6"/>
      <c r="D24" s="7"/>
      <c r="E24" s="10"/>
      <c r="I24" s="6"/>
      <c r="J24" s="6"/>
      <c r="K24" s="10"/>
      <c r="L24" s="8"/>
      <c r="M24" s="6"/>
      <c r="O24" s="6"/>
      <c r="P24" s="6"/>
      <c r="R24" s="8"/>
    </row>
    <row r="25" spans="1:18" ht="12.75">
      <c r="A25" t="s">
        <v>27</v>
      </c>
      <c r="C25" s="6"/>
      <c r="D25" s="7"/>
      <c r="E25" s="10"/>
      <c r="I25" s="6"/>
      <c r="J25" s="6"/>
      <c r="K25" s="10"/>
      <c r="L25" s="8"/>
      <c r="M25" s="6"/>
      <c r="O25" s="6"/>
      <c r="P25" s="6"/>
      <c r="R25" s="8"/>
    </row>
    <row r="27" spans="1:17" ht="12.75">
      <c r="A27" t="s">
        <v>28</v>
      </c>
      <c r="E27" t="s">
        <v>29</v>
      </c>
      <c r="M27" t="s">
        <v>30</v>
      </c>
      <c r="Q27" t="s">
        <v>31</v>
      </c>
    </row>
    <row r="28" spans="1:18" ht="12.75">
      <c r="A28" t="s">
        <v>32</v>
      </c>
      <c r="E28" t="s">
        <v>33</v>
      </c>
      <c r="R28" t="s">
        <v>34</v>
      </c>
    </row>
    <row r="29" spans="1:18" ht="12.75">
      <c r="A29" t="s">
        <v>35</v>
      </c>
      <c r="E29" t="s">
        <v>36</v>
      </c>
      <c r="G29" s="9">
        <f>SQRT(C1/C3)</f>
        <v>160.8961589488607</v>
      </c>
      <c r="M29" t="s">
        <v>37</v>
      </c>
      <c r="R29" t="s">
        <v>38</v>
      </c>
    </row>
    <row r="30" spans="1:17" ht="12.75">
      <c r="A30" t="s">
        <v>39</v>
      </c>
      <c r="E30" t="s">
        <v>40</v>
      </c>
      <c r="Q30" t="s">
        <v>41</v>
      </c>
    </row>
    <row r="31" spans="1:7" ht="12.75">
      <c r="A31" t="s">
        <v>42</v>
      </c>
      <c r="E31" t="s">
        <v>66</v>
      </c>
      <c r="G31" s="2">
        <f>C1/G29</f>
        <v>21753.160689885965</v>
      </c>
    </row>
    <row r="32" ht="12.75">
      <c r="A32" t="s">
        <v>43</v>
      </c>
    </row>
    <row r="38" spans="1:5" ht="12.75">
      <c r="A38" t="str">
        <f>A1</f>
        <v>Constant power</v>
      </c>
      <c r="C38">
        <f>C1</f>
        <v>3500000</v>
      </c>
      <c r="D38" t="str">
        <f>D1</f>
        <v>Watts</v>
      </c>
      <c r="E38" t="s">
        <v>44</v>
      </c>
    </row>
    <row r="39" spans="1:10" ht="12.75">
      <c r="A39" t="str">
        <f>A2</f>
        <v>Tether length</v>
      </c>
      <c r="C39">
        <f>C2</f>
        <v>40</v>
      </c>
      <c r="D39" t="str">
        <f>D2</f>
        <v>Km</v>
      </c>
      <c r="E39" t="str">
        <f>E3</f>
        <v>Cate #12</v>
      </c>
      <c r="I39">
        <v>0</v>
      </c>
      <c r="J39" t="s">
        <v>65</v>
      </c>
    </row>
    <row r="40" spans="3:10" ht="12.75">
      <c r="C40" t="s">
        <v>28</v>
      </c>
      <c r="D40">
        <v>280</v>
      </c>
      <c r="E40" t="s">
        <v>47</v>
      </c>
      <c r="H40" t="s">
        <v>29</v>
      </c>
      <c r="I40">
        <f>I39+D40</f>
        <v>280</v>
      </c>
      <c r="J40" t="s">
        <v>50</v>
      </c>
    </row>
    <row r="41" spans="1:12" ht="12.75">
      <c r="A41" t="str">
        <f aca="true" t="shared" si="20" ref="A41:A50">A7</f>
        <v>Altitude</v>
      </c>
      <c r="B41" t="str">
        <f aca="true" t="shared" si="21" ref="B41:B50">K7</f>
        <v>Radius</v>
      </c>
      <c r="C41" t="str">
        <f aca="true" t="shared" si="22" ref="C41:C50">E7</f>
        <v>Newtons</v>
      </c>
      <c r="D41" t="s">
        <v>48</v>
      </c>
      <c r="E41" t="s">
        <v>49</v>
      </c>
      <c r="F41" t="s">
        <v>45</v>
      </c>
      <c r="G41" t="s">
        <v>46</v>
      </c>
      <c r="H41" t="str">
        <f aca="true" t="shared" si="23" ref="H41:H50">G7</f>
        <v>Newtons</v>
      </c>
      <c r="I41" t="s">
        <v>48</v>
      </c>
      <c r="J41" t="s">
        <v>49</v>
      </c>
      <c r="K41" t="s">
        <v>45</v>
      </c>
      <c r="L41" t="s">
        <v>46</v>
      </c>
    </row>
    <row r="42" spans="1:12" ht="12.75">
      <c r="A42">
        <f t="shared" si="20"/>
        <v>900</v>
      </c>
      <c r="B42">
        <f t="shared" si="21"/>
        <v>7278</v>
      </c>
      <c r="C42" s="8">
        <f t="shared" si="22"/>
        <v>110.9538000917067</v>
      </c>
      <c r="D42" s="11">
        <f aca="true" t="shared" si="24" ref="D42:D50">C42/D$40/1000</f>
        <v>0.0003962635717560953</v>
      </c>
      <c r="H42" s="8">
        <f t="shared" si="23"/>
        <v>98.38425270254123</v>
      </c>
      <c r="I42" s="11">
        <f aca="true" t="shared" si="25" ref="I42:I50">H42/I$40/1000</f>
        <v>0.0003513723310805044</v>
      </c>
      <c r="J42">
        <f aca="true" t="shared" si="26" ref="J42:J49">E43</f>
        <v>26</v>
      </c>
      <c r="K42" s="2">
        <f aca="true" t="shared" si="27" ref="K42:K49">J42/I42</f>
        <v>73995.58161010416</v>
      </c>
      <c r="L42" s="9">
        <f aca="true" t="shared" si="28" ref="L42:L49">K42/3600</f>
        <v>20.554328225028932</v>
      </c>
    </row>
    <row r="43" spans="1:12" ht="12.75">
      <c r="A43">
        <f t="shared" si="20"/>
        <v>850</v>
      </c>
      <c r="B43">
        <f t="shared" si="21"/>
        <v>7228</v>
      </c>
      <c r="C43" s="8">
        <f t="shared" si="22"/>
        <v>112.93099151939695</v>
      </c>
      <c r="D43" s="11">
        <f t="shared" si="24"/>
        <v>0.000403324969712132</v>
      </c>
      <c r="E43">
        <f aca="true" t="shared" si="29" ref="E43:E50">ROUND(1000*(M9-M8),)</f>
        <v>26</v>
      </c>
      <c r="F43" s="2">
        <f aca="true" t="shared" si="30" ref="F43:F50">E43/D43</f>
        <v>64464.146662075414</v>
      </c>
      <c r="G43" s="9">
        <f aca="true" t="shared" si="31" ref="G43:G50">F43/3600</f>
        <v>17.90670740613206</v>
      </c>
      <c r="H43" s="8">
        <f t="shared" si="23"/>
        <v>100.44014090047392</v>
      </c>
      <c r="I43" s="11">
        <f t="shared" si="25"/>
        <v>0.000358714788930264</v>
      </c>
      <c r="J43">
        <f t="shared" si="26"/>
        <v>26</v>
      </c>
      <c r="K43" s="2">
        <f t="shared" si="27"/>
        <v>72480.981555111</v>
      </c>
      <c r="L43" s="9">
        <f t="shared" si="28"/>
        <v>20.13360598753083</v>
      </c>
    </row>
    <row r="44" spans="1:12" ht="12.75">
      <c r="A44">
        <f t="shared" si="20"/>
        <v>800</v>
      </c>
      <c r="B44">
        <f t="shared" si="21"/>
        <v>7178</v>
      </c>
      <c r="C44" s="8">
        <f t="shared" si="22"/>
        <v>114.94908751951714</v>
      </c>
      <c r="D44" s="11">
        <f t="shared" si="24"/>
        <v>0.0004105324554268469</v>
      </c>
      <c r="E44">
        <f t="shared" si="29"/>
        <v>26</v>
      </c>
      <c r="F44" s="2">
        <f t="shared" si="30"/>
        <v>63332.38616412621</v>
      </c>
      <c r="G44" s="9">
        <f t="shared" si="31"/>
        <v>17.59232949003506</v>
      </c>
      <c r="H44" s="8">
        <f t="shared" si="23"/>
        <v>102.55371161993571</v>
      </c>
      <c r="I44" s="11">
        <f t="shared" si="25"/>
        <v>0.00036626325578548467</v>
      </c>
      <c r="J44">
        <f t="shared" si="26"/>
        <v>26</v>
      </c>
      <c r="K44" s="2">
        <f t="shared" si="27"/>
        <v>70987.19183348231</v>
      </c>
      <c r="L44" s="9">
        <f t="shared" si="28"/>
        <v>19.71866439818953</v>
      </c>
    </row>
    <row r="45" spans="1:12" ht="12.75">
      <c r="A45">
        <f t="shared" si="20"/>
        <v>750</v>
      </c>
      <c r="B45">
        <f t="shared" si="21"/>
        <v>7128</v>
      </c>
      <c r="C45" s="8">
        <f t="shared" si="22"/>
        <v>117.00883738749626</v>
      </c>
      <c r="D45" s="11">
        <f t="shared" si="24"/>
        <v>0.00041788870495534377</v>
      </c>
      <c r="E45">
        <f t="shared" si="29"/>
        <v>26</v>
      </c>
      <c r="F45" s="2">
        <f t="shared" si="30"/>
        <v>62217.522731987694</v>
      </c>
      <c r="G45" s="9">
        <f t="shared" si="31"/>
        <v>17.282645203329913</v>
      </c>
      <c r="H45" s="8">
        <f t="shared" si="23"/>
        <v>104.7270021487562</v>
      </c>
      <c r="I45" s="11">
        <f t="shared" si="25"/>
        <v>0.0003740250076741293</v>
      </c>
      <c r="J45">
        <f t="shared" si="26"/>
        <v>26</v>
      </c>
      <c r="K45" s="2">
        <f t="shared" si="27"/>
        <v>69514.06848884447</v>
      </c>
      <c r="L45" s="9">
        <f t="shared" si="28"/>
        <v>19.309463469123465</v>
      </c>
    </row>
    <row r="46" spans="1:12" ht="12.75">
      <c r="A46">
        <f t="shared" si="20"/>
        <v>700</v>
      </c>
      <c r="B46">
        <f t="shared" si="21"/>
        <v>7078</v>
      </c>
      <c r="C46" s="8">
        <f t="shared" si="22"/>
        <v>119.11098664473585</v>
      </c>
      <c r="D46" s="11">
        <f t="shared" si="24"/>
        <v>0.00042539638087405655</v>
      </c>
      <c r="E46">
        <f t="shared" si="29"/>
        <v>26</v>
      </c>
      <c r="F46" s="2">
        <f t="shared" si="30"/>
        <v>61119.46685248739</v>
      </c>
      <c r="G46" s="9">
        <f t="shared" si="31"/>
        <v>16.977629681246498</v>
      </c>
      <c r="H46" s="8">
        <f t="shared" si="23"/>
        <v>106.9621367342145</v>
      </c>
      <c r="I46" s="11">
        <f t="shared" si="25"/>
        <v>0.0003820076311936232</v>
      </c>
      <c r="J46">
        <f t="shared" si="26"/>
        <v>27</v>
      </c>
      <c r="K46" s="2">
        <f t="shared" si="27"/>
        <v>70679.21631731713</v>
      </c>
      <c r="L46" s="9">
        <f t="shared" si="28"/>
        <v>19.633115643699202</v>
      </c>
    </row>
    <row r="47" spans="1:12" ht="12.75">
      <c r="A47">
        <f t="shared" si="20"/>
        <v>650</v>
      </c>
      <c r="B47">
        <f t="shared" si="21"/>
        <v>7028</v>
      </c>
      <c r="C47" s="8">
        <f t="shared" si="22"/>
        <v>121.25627496763452</v>
      </c>
      <c r="D47" s="11">
        <f t="shared" si="24"/>
        <v>0.000433058124884409</v>
      </c>
      <c r="E47">
        <f t="shared" si="29"/>
        <v>27</v>
      </c>
      <c r="F47" s="2">
        <f t="shared" si="30"/>
        <v>62347.28884767324</v>
      </c>
      <c r="G47" s="9">
        <f t="shared" si="31"/>
        <v>17.3186913465759</v>
      </c>
      <c r="H47" s="8">
        <f t="shared" si="23"/>
        <v>109.26133094442864</v>
      </c>
      <c r="I47" s="11">
        <f t="shared" si="25"/>
        <v>0.00039021903908724513</v>
      </c>
      <c r="J47">
        <f t="shared" si="26"/>
        <v>27</v>
      </c>
      <c r="K47" s="2">
        <f t="shared" si="27"/>
        <v>69191.90837831811</v>
      </c>
      <c r="L47" s="9">
        <f t="shared" si="28"/>
        <v>19.219974549532807</v>
      </c>
    </row>
    <row r="48" spans="1:12" ht="12.75">
      <c r="A48">
        <f t="shared" si="20"/>
        <v>600</v>
      </c>
      <c r="B48">
        <f t="shared" si="21"/>
        <v>6978</v>
      </c>
      <c r="C48" s="8">
        <f t="shared" si="22"/>
        <v>123.44543390563034</v>
      </c>
      <c r="D48" s="11">
        <f t="shared" si="24"/>
        <v>0.00044087654966296546</v>
      </c>
      <c r="E48">
        <f t="shared" si="29"/>
        <v>27</v>
      </c>
      <c r="F48" s="2">
        <f t="shared" si="30"/>
        <v>61241.63333395833</v>
      </c>
      <c r="G48" s="9">
        <f t="shared" si="31"/>
        <v>17.011564814988425</v>
      </c>
      <c r="H48" s="8">
        <f t="shared" si="23"/>
        <v>111.62689628153811</v>
      </c>
      <c r="I48" s="11">
        <f t="shared" si="25"/>
        <v>0.00039866748671977897</v>
      </c>
      <c r="J48">
        <f t="shared" si="26"/>
        <v>27</v>
      </c>
      <c r="K48" s="2">
        <f t="shared" si="27"/>
        <v>67725.61319749193</v>
      </c>
      <c r="L48" s="9">
        <f t="shared" si="28"/>
        <v>18.812670332636646</v>
      </c>
    </row>
    <row r="49" spans="1:12" ht="12.75">
      <c r="A49">
        <f t="shared" si="20"/>
        <v>550</v>
      </c>
      <c r="B49">
        <f t="shared" si="21"/>
        <v>6928</v>
      </c>
      <c r="C49" s="8">
        <f t="shared" si="22"/>
        <v>125.67918437174936</v>
      </c>
      <c r="D49" s="11">
        <f t="shared" si="24"/>
        <v>0.00044885422989910485</v>
      </c>
      <c r="E49">
        <f t="shared" si="29"/>
        <v>27</v>
      </c>
      <c r="F49" s="2">
        <f t="shared" si="30"/>
        <v>60153.15931425925</v>
      </c>
      <c r="G49" s="9">
        <f t="shared" si="31"/>
        <v>16.70921092062757</v>
      </c>
      <c r="H49" s="8">
        <f t="shared" si="23"/>
        <v>114.061245063152</v>
      </c>
      <c r="I49" s="11">
        <f t="shared" si="25"/>
        <v>0.00040736158951125716</v>
      </c>
      <c r="J49">
        <f t="shared" si="26"/>
        <v>28</v>
      </c>
      <c r="K49" s="2">
        <f t="shared" si="27"/>
        <v>68735.00281063253</v>
      </c>
      <c r="L49" s="9">
        <f t="shared" si="28"/>
        <v>19.093056336286814</v>
      </c>
    </row>
    <row r="50" spans="1:9" ht="12.75">
      <c r="A50">
        <f t="shared" si="20"/>
        <v>500</v>
      </c>
      <c r="B50">
        <f t="shared" si="21"/>
        <v>6878</v>
      </c>
      <c r="C50" s="8">
        <f t="shared" si="22"/>
        <v>127.95823388817418</v>
      </c>
      <c r="D50" s="11">
        <f t="shared" si="24"/>
        <v>0.00045699369245776495</v>
      </c>
      <c r="E50">
        <f t="shared" si="29"/>
        <v>28</v>
      </c>
      <c r="F50" s="2">
        <f t="shared" si="30"/>
        <v>61269.99226053375</v>
      </c>
      <c r="G50" s="9">
        <f t="shared" si="31"/>
        <v>17.019442294592707</v>
      </c>
      <c r="H50" s="8">
        <f t="shared" si="23"/>
        <v>116.56689558974116</v>
      </c>
      <c r="I50" s="11">
        <f t="shared" si="25"/>
        <v>0.0004163103413919327</v>
      </c>
    </row>
    <row r="51" spans="3:12" ht="12.75">
      <c r="C51" s="8"/>
      <c r="D51" s="9">
        <f>D40+E51</f>
        <v>280</v>
      </c>
      <c r="E51">
        <v>0</v>
      </c>
      <c r="F51" s="2" t="s">
        <v>57</v>
      </c>
      <c r="G51" s="9" t="s">
        <v>64</v>
      </c>
      <c r="H51" s="8"/>
      <c r="I51" s="6">
        <f>D40</f>
        <v>280</v>
      </c>
      <c r="K51" s="2"/>
      <c r="L51" s="9"/>
    </row>
    <row r="52" spans="1:12" ht="12.75">
      <c r="A52">
        <f aca="true" t="shared" si="32" ref="A52:A58">A16</f>
        <v>500</v>
      </c>
      <c r="B52">
        <f aca="true" t="shared" si="33" ref="B52:B58">K16</f>
        <v>6878</v>
      </c>
      <c r="C52" s="8">
        <f aca="true" t="shared" si="34" ref="C52:C58">E16</f>
        <v>127.95823388817418</v>
      </c>
      <c r="D52" s="11">
        <f aca="true" t="shared" si="35" ref="D52:D58">C52/D$51/1000</f>
        <v>0.00045699369245776495</v>
      </c>
      <c r="E52">
        <f aca="true" t="shared" si="36" ref="E52:E58">ROUND(1000*(M16-M15),)</f>
        <v>28</v>
      </c>
      <c r="F52" s="2">
        <f aca="true" t="shared" si="37" ref="F52:F58">E52/D52</f>
        <v>61269.99226053375</v>
      </c>
      <c r="G52" s="9">
        <f aca="true" t="shared" si="38" ref="G52:G58">F52/3600</f>
        <v>17.019442294592707</v>
      </c>
      <c r="H52" s="8">
        <f>G18</f>
        <v>121.8027381532716</v>
      </c>
      <c r="I52" s="11">
        <f aca="true" t="shared" si="39" ref="I52:I57">H52/I$51/1000</f>
        <v>0.00043500977911882716</v>
      </c>
      <c r="J52">
        <f aca="true" t="shared" si="40" ref="J52:J58">E52</f>
        <v>28</v>
      </c>
      <c r="K52" s="2">
        <f aca="true" t="shared" si="41" ref="K52:K58">J52/I52</f>
        <v>64366.36908880048</v>
      </c>
      <c r="L52" s="9">
        <f aca="true" t="shared" si="42" ref="L52:L58">K52/3600</f>
        <v>17.879546969111242</v>
      </c>
    </row>
    <row r="53" spans="1:12" ht="12.75">
      <c r="A53">
        <f t="shared" si="32"/>
        <v>450</v>
      </c>
      <c r="B53">
        <f t="shared" si="33"/>
        <v>6828</v>
      </c>
      <c r="C53" s="8">
        <f t="shared" si="34"/>
        <v>130.28327356836502</v>
      </c>
      <c r="D53" s="11">
        <f t="shared" si="35"/>
        <v>0.0004652974056013036</v>
      </c>
      <c r="E53">
        <f t="shared" si="36"/>
        <v>28</v>
      </c>
      <c r="F53" s="2">
        <f t="shared" si="37"/>
        <v>60176.565918771055</v>
      </c>
      <c r="G53" s="9">
        <f t="shared" si="38"/>
        <v>16.71571275521418</v>
      </c>
      <c r="H53" s="8">
        <f aca="true" t="shared" si="43" ref="H53:H58">G17</f>
        <v>119.14647761695733</v>
      </c>
      <c r="I53" s="11">
        <f t="shared" si="39"/>
        <v>0.00042552313434627615</v>
      </c>
      <c r="J53">
        <f t="shared" si="40"/>
        <v>28</v>
      </c>
      <c r="K53" s="2">
        <f t="shared" si="41"/>
        <v>65801.3577640518</v>
      </c>
      <c r="L53" s="9">
        <f t="shared" si="42"/>
        <v>18.278154934458836</v>
      </c>
    </row>
    <row r="54" spans="1:12" ht="12.75">
      <c r="A54">
        <f t="shared" si="32"/>
        <v>400</v>
      </c>
      <c r="B54">
        <f t="shared" si="33"/>
        <v>6778</v>
      </c>
      <c r="C54" s="8">
        <f t="shared" si="34"/>
        <v>132.65497481628077</v>
      </c>
      <c r="D54" s="11">
        <f t="shared" si="35"/>
        <v>0.00047376776720100275</v>
      </c>
      <c r="E54">
        <f t="shared" si="36"/>
        <v>28</v>
      </c>
      <c r="F54" s="2">
        <f t="shared" si="37"/>
        <v>59100.68590234126</v>
      </c>
      <c r="G54" s="9">
        <f t="shared" si="38"/>
        <v>16.416857195094796</v>
      </c>
      <c r="H54" s="8">
        <f t="shared" si="43"/>
        <v>121.8027381532716</v>
      </c>
      <c r="I54" s="11">
        <f t="shared" si="39"/>
        <v>0.00043500977911882716</v>
      </c>
      <c r="J54">
        <f t="shared" si="40"/>
        <v>28</v>
      </c>
      <c r="K54" s="2">
        <f t="shared" si="41"/>
        <v>64366.36908880048</v>
      </c>
      <c r="L54" s="9">
        <f t="shared" si="42"/>
        <v>17.879546969111242</v>
      </c>
    </row>
    <row r="55" spans="1:12" ht="12.75">
      <c r="A55">
        <f t="shared" si="32"/>
        <v>350</v>
      </c>
      <c r="B55">
        <f t="shared" si="33"/>
        <v>6728</v>
      </c>
      <c r="C55" s="8">
        <f t="shared" si="34"/>
        <v>135.073985722283</v>
      </c>
      <c r="D55" s="11">
        <f t="shared" si="35"/>
        <v>0.0004824070918652964</v>
      </c>
      <c r="E55">
        <f t="shared" si="36"/>
        <v>28</v>
      </c>
      <c r="F55" s="2">
        <f t="shared" si="37"/>
        <v>58042.26445290008</v>
      </c>
      <c r="G55" s="9">
        <f t="shared" si="38"/>
        <v>16.122851236916688</v>
      </c>
      <c r="H55" s="8">
        <f t="shared" si="43"/>
        <v>124.53854760485315</v>
      </c>
      <c r="I55" s="11">
        <f t="shared" si="39"/>
        <v>0.00044478052716018983</v>
      </c>
      <c r="J55">
        <f t="shared" si="40"/>
        <v>28</v>
      </c>
      <c r="K55" s="2">
        <f t="shared" si="41"/>
        <v>62952.396272320766</v>
      </c>
      <c r="L55" s="9">
        <f t="shared" si="42"/>
        <v>17.486776742311324</v>
      </c>
    </row>
    <row r="56" spans="1:12" ht="12.75">
      <c r="A56">
        <f t="shared" si="32"/>
        <v>300</v>
      </c>
      <c r="B56">
        <f t="shared" si="33"/>
        <v>6678</v>
      </c>
      <c r="C56" s="8">
        <f t="shared" si="34"/>
        <v>137.5409271343629</v>
      </c>
      <c r="D56" s="11">
        <f t="shared" si="35"/>
        <v>0.0004912175969084389</v>
      </c>
      <c r="E56">
        <f t="shared" si="36"/>
        <v>29</v>
      </c>
      <c r="F56" s="2">
        <f t="shared" si="37"/>
        <v>59036.97298817553</v>
      </c>
      <c r="G56" s="9">
        <f t="shared" si="38"/>
        <v>16.39915916338209</v>
      </c>
      <c r="H56" s="8">
        <f t="shared" si="43"/>
        <v>127.35690629126003</v>
      </c>
      <c r="I56" s="11">
        <f t="shared" si="39"/>
        <v>0.00045484609389735724</v>
      </c>
      <c r="J56">
        <f t="shared" si="40"/>
        <v>29</v>
      </c>
      <c r="K56" s="2">
        <f t="shared" si="41"/>
        <v>63757.83015198165</v>
      </c>
      <c r="L56" s="9">
        <f t="shared" si="42"/>
        <v>17.710508375550457</v>
      </c>
    </row>
    <row r="57" spans="1:12" ht="12.75">
      <c r="A57">
        <f t="shared" si="32"/>
        <v>250</v>
      </c>
      <c r="B57">
        <f t="shared" si="33"/>
        <v>6628</v>
      </c>
      <c r="C57" s="8">
        <f t="shared" si="34"/>
        <v>140.05638838244764</v>
      </c>
      <c r="D57" s="11">
        <f t="shared" si="35"/>
        <v>0.0005002013870801701</v>
      </c>
      <c r="E57">
        <f t="shared" si="36"/>
        <v>29</v>
      </c>
      <c r="F57" s="2">
        <f t="shared" si="37"/>
        <v>57976.64850407943</v>
      </c>
      <c r="G57" s="9">
        <f t="shared" si="38"/>
        <v>16.104624584466507</v>
      </c>
      <c r="H57" s="8">
        <f t="shared" si="43"/>
        <v>130.2609513573084</v>
      </c>
      <c r="I57" s="11">
        <f t="shared" si="39"/>
        <v>0.00046521768341895855</v>
      </c>
      <c r="J57">
        <f t="shared" si="40"/>
        <v>29</v>
      </c>
      <c r="K57" s="2">
        <f t="shared" si="41"/>
        <v>62336.40945648153</v>
      </c>
      <c r="L57" s="9">
        <f t="shared" si="42"/>
        <v>17.315669293467092</v>
      </c>
    </row>
    <row r="58" spans="1:12" ht="12.75">
      <c r="A58">
        <f t="shared" si="32"/>
        <v>200</v>
      </c>
      <c r="B58">
        <f t="shared" si="33"/>
        <v>6578</v>
      </c>
      <c r="C58" s="8">
        <f t="shared" si="34"/>
        <v>142.620922632722</v>
      </c>
      <c r="D58" s="11">
        <f t="shared" si="35"/>
        <v>0.0005093604379740071</v>
      </c>
      <c r="E58">
        <f t="shared" si="36"/>
        <v>29</v>
      </c>
      <c r="F58" s="2">
        <f t="shared" si="37"/>
        <v>56934.142972210735</v>
      </c>
      <c r="G58" s="9">
        <f t="shared" si="38"/>
        <v>15.815039714502982</v>
      </c>
      <c r="H58" s="8">
        <f t="shared" si="43"/>
        <v>133.25396410842663</v>
      </c>
      <c r="I58" s="11">
        <f>H58/I$40/1000</f>
        <v>0.0004759070146729523</v>
      </c>
      <c r="J58">
        <f t="shared" si="40"/>
        <v>29</v>
      </c>
      <c r="K58" s="2">
        <f t="shared" si="41"/>
        <v>60936.27348596462</v>
      </c>
      <c r="L58" s="9">
        <f t="shared" si="42"/>
        <v>16.926742634990173</v>
      </c>
    </row>
    <row r="59" spans="1:9" ht="12.75">
      <c r="A59" t="s">
        <v>61</v>
      </c>
      <c r="C59" t="s">
        <v>56</v>
      </c>
      <c r="D59" t="s">
        <v>53</v>
      </c>
      <c r="E59" t="s">
        <v>54</v>
      </c>
      <c r="G59" t="s">
        <v>51</v>
      </c>
      <c r="H59" t="s">
        <v>52</v>
      </c>
      <c r="I59" s="12">
        <v>0.4</v>
      </c>
    </row>
    <row r="60" spans="1:8" ht="12.75">
      <c r="A60">
        <f aca="true" t="shared" si="44" ref="A60:B67">A42</f>
        <v>900</v>
      </c>
      <c r="B60">
        <f t="shared" si="44"/>
        <v>7278</v>
      </c>
      <c r="D60" s="9">
        <f>SUM(G43:G$50)</f>
        <v>137.81822115752814</v>
      </c>
      <c r="E60" s="9">
        <f>SUM(L42:L$50)</f>
        <v>156.47487894202823</v>
      </c>
      <c r="G60" s="9">
        <f aca="true" t="shared" si="45" ref="G60:G74">D60+E60</f>
        <v>294.29310009955634</v>
      </c>
      <c r="H60" s="9">
        <f aca="true" t="shared" si="46" ref="H60:H74">G60/24/I$59</f>
        <v>30.655531260370452</v>
      </c>
    </row>
    <row r="61" spans="1:8" ht="12.75">
      <c r="A61">
        <f t="shared" si="44"/>
        <v>850</v>
      </c>
      <c r="B61">
        <f t="shared" si="44"/>
        <v>7228</v>
      </c>
      <c r="D61" s="9">
        <f>SUM(G44:G$50)</f>
        <v>119.91151375139609</v>
      </c>
      <c r="E61" s="9">
        <f>SUM(L43:L$50)</f>
        <v>135.9205507169993</v>
      </c>
      <c r="G61" s="9">
        <f t="shared" si="45"/>
        <v>255.83206446839537</v>
      </c>
      <c r="H61" s="9">
        <f t="shared" si="46"/>
        <v>26.649173382124516</v>
      </c>
    </row>
    <row r="62" spans="1:8" ht="12.75">
      <c r="A62">
        <f t="shared" si="44"/>
        <v>800</v>
      </c>
      <c r="B62">
        <f t="shared" si="44"/>
        <v>7178</v>
      </c>
      <c r="D62" s="9">
        <f>SUM(G45:G$50)</f>
        <v>102.31918426136102</v>
      </c>
      <c r="E62" s="9">
        <f>SUM(L44:L$50)</f>
        <v>115.78694472946847</v>
      </c>
      <c r="G62" s="9">
        <f t="shared" si="45"/>
        <v>218.1061289908295</v>
      </c>
      <c r="H62" s="9">
        <f t="shared" si="46"/>
        <v>22.719388436544737</v>
      </c>
    </row>
    <row r="63" spans="1:8" ht="12.75">
      <c r="A63">
        <f t="shared" si="44"/>
        <v>750</v>
      </c>
      <c r="B63">
        <f t="shared" si="44"/>
        <v>7128</v>
      </c>
      <c r="D63" s="9">
        <f>SUM(G46:G$50)</f>
        <v>85.0365390580311</v>
      </c>
      <c r="E63" s="9">
        <f>SUM(L45:L$50)</f>
        <v>96.06828033127894</v>
      </c>
      <c r="G63" s="9">
        <f t="shared" si="45"/>
        <v>181.10481938931002</v>
      </c>
      <c r="H63" s="9">
        <f t="shared" si="46"/>
        <v>18.86508535305313</v>
      </c>
    </row>
    <row r="64" spans="1:8" ht="12.75">
      <c r="A64">
        <f t="shared" si="44"/>
        <v>700</v>
      </c>
      <c r="B64">
        <f t="shared" si="44"/>
        <v>7078</v>
      </c>
      <c r="D64" s="9">
        <f>SUM(G47:G$50)</f>
        <v>68.0589093767846</v>
      </c>
      <c r="E64" s="9">
        <f>SUM(L46:L$50)</f>
        <v>76.75881686215547</v>
      </c>
      <c r="G64" s="9">
        <f t="shared" si="45"/>
        <v>144.81772623894005</v>
      </c>
      <c r="H64" s="9">
        <f t="shared" si="46"/>
        <v>15.085179816556256</v>
      </c>
    </row>
    <row r="65" spans="1:8" ht="12.75">
      <c r="A65">
        <f t="shared" si="44"/>
        <v>650</v>
      </c>
      <c r="B65">
        <f t="shared" si="44"/>
        <v>7028</v>
      </c>
      <c r="D65" s="9">
        <f>SUM(G48:G$50)</f>
        <v>50.7402180302087</v>
      </c>
      <c r="E65" s="9">
        <f>SUM(L47:L$50)</f>
        <v>57.125701218456264</v>
      </c>
      <c r="G65" s="9">
        <f t="shared" si="45"/>
        <v>107.86591924866497</v>
      </c>
      <c r="H65" s="9">
        <f t="shared" si="46"/>
        <v>11.236033255069266</v>
      </c>
    </row>
    <row r="66" spans="1:8" ht="12.75">
      <c r="A66">
        <f t="shared" si="44"/>
        <v>600</v>
      </c>
      <c r="B66">
        <f t="shared" si="44"/>
        <v>6978</v>
      </c>
      <c r="D66" s="9">
        <f>SUM(G49:G$50)</f>
        <v>33.72865321522028</v>
      </c>
      <c r="E66" s="9">
        <f>SUM(L48:L$50)</f>
        <v>37.905726668923464</v>
      </c>
      <c r="G66" s="9">
        <f t="shared" si="45"/>
        <v>71.63437988414374</v>
      </c>
      <c r="H66" s="9">
        <f t="shared" si="46"/>
        <v>7.461914571264972</v>
      </c>
    </row>
    <row r="67" spans="1:8" ht="12.75">
      <c r="A67">
        <f t="shared" si="44"/>
        <v>550</v>
      </c>
      <c r="B67">
        <f t="shared" si="44"/>
        <v>6928</v>
      </c>
      <c r="D67" s="9">
        <f>SUM(G$50:G50)</f>
        <v>17.019442294592707</v>
      </c>
      <c r="E67" s="9">
        <f>SUM(L49:L$50)</f>
        <v>19.093056336286814</v>
      </c>
      <c r="G67" s="9">
        <f t="shared" si="45"/>
        <v>36.11249863087952</v>
      </c>
      <c r="H67" s="9">
        <f t="shared" si="46"/>
        <v>3.7617186073832833</v>
      </c>
    </row>
    <row r="68" spans="1:8" ht="12.75">
      <c r="A68">
        <f aca="true" t="shared" si="47" ref="A68:B74">A52</f>
        <v>500</v>
      </c>
      <c r="B68">
        <f t="shared" si="47"/>
        <v>6878</v>
      </c>
      <c r="D68" s="9">
        <f>SUM(G$52:G52)</f>
        <v>17.019442294592707</v>
      </c>
      <c r="G68" s="9">
        <f t="shared" si="45"/>
        <v>17.019442294592707</v>
      </c>
      <c r="H68" s="9">
        <f t="shared" si="46"/>
        <v>1.772858572353407</v>
      </c>
    </row>
    <row r="69" spans="1:8" ht="12.75">
      <c r="A69">
        <f t="shared" si="47"/>
        <v>450</v>
      </c>
      <c r="B69">
        <f t="shared" si="47"/>
        <v>6828</v>
      </c>
      <c r="D69" s="9">
        <f>SUM(G$52:G53)</f>
        <v>33.73515504980689</v>
      </c>
      <c r="G69" s="9">
        <f t="shared" si="45"/>
        <v>33.73515504980689</v>
      </c>
      <c r="H69" s="9">
        <f t="shared" si="46"/>
        <v>3.514078651021551</v>
      </c>
    </row>
    <row r="70" spans="1:8" ht="12.75">
      <c r="A70">
        <f t="shared" si="47"/>
        <v>400</v>
      </c>
      <c r="B70">
        <f t="shared" si="47"/>
        <v>6778</v>
      </c>
      <c r="D70" s="9">
        <f>SUM(G$52:G54)</f>
        <v>50.152012244901684</v>
      </c>
      <c r="G70" s="9">
        <f t="shared" si="45"/>
        <v>50.152012244901684</v>
      </c>
      <c r="H70" s="9">
        <f t="shared" si="46"/>
        <v>5.224167942177258</v>
      </c>
    </row>
    <row r="71" spans="1:8" ht="12.75">
      <c r="A71">
        <f t="shared" si="47"/>
        <v>350</v>
      </c>
      <c r="B71">
        <f t="shared" si="47"/>
        <v>6728</v>
      </c>
      <c r="D71" s="9">
        <f>SUM(G$52:G55)</f>
        <v>66.27486348181837</v>
      </c>
      <c r="G71" s="9">
        <f t="shared" si="45"/>
        <v>66.27486348181837</v>
      </c>
      <c r="H71" s="9">
        <f t="shared" si="46"/>
        <v>6.903631612689414</v>
      </c>
    </row>
    <row r="72" spans="1:8" ht="12.75">
      <c r="A72">
        <f t="shared" si="47"/>
        <v>300</v>
      </c>
      <c r="B72">
        <f t="shared" si="47"/>
        <v>6678</v>
      </c>
      <c r="D72" s="9">
        <f>SUM(G$52:G56)</f>
        <v>82.67402264520047</v>
      </c>
      <c r="G72" s="9">
        <f t="shared" si="45"/>
        <v>82.67402264520047</v>
      </c>
      <c r="H72" s="9">
        <f t="shared" si="46"/>
        <v>8.611877358875049</v>
      </c>
    </row>
    <row r="73" spans="1:8" ht="12.75">
      <c r="A73">
        <f t="shared" si="47"/>
        <v>250</v>
      </c>
      <c r="B73">
        <f t="shared" si="47"/>
        <v>6628</v>
      </c>
      <c r="D73" s="9">
        <f>SUM(G$52:G57)</f>
        <v>98.77864722966697</v>
      </c>
      <c r="G73" s="9">
        <f t="shared" si="45"/>
        <v>98.77864722966697</v>
      </c>
      <c r="H73" s="9">
        <f t="shared" si="46"/>
        <v>10.289442419756975</v>
      </c>
    </row>
    <row r="74" spans="1:8" ht="12.75">
      <c r="A74">
        <f t="shared" si="47"/>
        <v>200</v>
      </c>
      <c r="B74">
        <f t="shared" si="47"/>
        <v>6578</v>
      </c>
      <c r="D74" s="9">
        <f>SUM(G$52:G58)</f>
        <v>114.59368694416996</v>
      </c>
      <c r="G74" s="9">
        <f t="shared" si="45"/>
        <v>114.59368694416996</v>
      </c>
      <c r="H74" s="9">
        <f t="shared" si="46"/>
        <v>11.936842390017702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4"/>
  <sheetViews>
    <sheetView workbookViewId="0" topLeftCell="A1">
      <selection activeCell="C7" sqref="C7"/>
    </sheetView>
  </sheetViews>
  <sheetFormatPr defaultColWidth="9.140625" defaultRowHeight="12.75"/>
  <cols>
    <col min="4" max="4" width="12.421875" style="0" bestFit="1" customWidth="1"/>
    <col min="6" max="6" width="10.140625" style="0" bestFit="1" customWidth="1"/>
    <col min="7" max="10" width="9.57421875" style="0" customWidth="1"/>
  </cols>
  <sheetData>
    <row r="1" spans="1:15" ht="12.75">
      <c r="A1" t="s">
        <v>60</v>
      </c>
      <c r="C1">
        <v>3500000</v>
      </c>
      <c r="D1" t="s">
        <v>0</v>
      </c>
      <c r="F1" s="14">
        <v>37976</v>
      </c>
      <c r="G1">
        <v>0</v>
      </c>
      <c r="H1" t="str">
        <f>P2</f>
        <v>Inclination</v>
      </c>
      <c r="I1" t="s">
        <v>104</v>
      </c>
      <c r="L1">
        <v>215</v>
      </c>
      <c r="M1">
        <v>0.00017</v>
      </c>
      <c r="N1" t="s">
        <v>110</v>
      </c>
      <c r="O1">
        <v>0.029</v>
      </c>
    </row>
    <row r="2" spans="1:16" ht="12.75">
      <c r="A2" t="s">
        <v>1</v>
      </c>
      <c r="C2">
        <v>40</v>
      </c>
      <c r="D2" t="s">
        <v>2</v>
      </c>
      <c r="E2">
        <v>120</v>
      </c>
      <c r="F2">
        <v>284</v>
      </c>
      <c r="I2" t="s">
        <v>103</v>
      </c>
      <c r="J2" s="1"/>
      <c r="M2">
        <v>983.008</v>
      </c>
      <c r="N2" t="s">
        <v>111</v>
      </c>
      <c r="O2">
        <f>G1</f>
        <v>0</v>
      </c>
      <c r="P2" t="s">
        <v>67</v>
      </c>
    </row>
    <row r="3" spans="1:16" ht="12.75">
      <c r="A3" t="s">
        <v>55</v>
      </c>
      <c r="C3" t="s">
        <v>120</v>
      </c>
      <c r="D3" s="1" t="s">
        <v>116</v>
      </c>
      <c r="E3" s="1"/>
      <c r="F3" t="s">
        <v>117</v>
      </c>
      <c r="H3" s="9" t="s">
        <v>118</v>
      </c>
      <c r="M3">
        <v>398580</v>
      </c>
      <c r="N3" t="s">
        <v>112</v>
      </c>
      <c r="O3">
        <f>O2/180*PI()</f>
        <v>0</v>
      </c>
      <c r="P3" t="s">
        <v>68</v>
      </c>
    </row>
    <row r="4" spans="1:16" ht="12.75">
      <c r="A4" t="s">
        <v>115</v>
      </c>
      <c r="B4">
        <v>8</v>
      </c>
      <c r="C4">
        <v>4</v>
      </c>
      <c r="D4" s="9">
        <f>VLOOKUP($B$4,AWGamp!$A$12:$F$23,4)*$C$2/C4</f>
        <v>33.8</v>
      </c>
      <c r="F4" s="9">
        <f>VLOOKUP($B$4,AWGamp!$A$12:$F$23,6)*C4</f>
        <v>168</v>
      </c>
      <c r="H4" s="9">
        <f>VLOOKUP($B$4,AWGamp!$A$12:$F$23,3)*C$2*C4</f>
        <v>3616</v>
      </c>
      <c r="M4" s="8">
        <f>SQRT(M3)</f>
        <v>631.3319253768179</v>
      </c>
      <c r="N4" t="s">
        <v>113</v>
      </c>
      <c r="O4">
        <f>COS(O3)</f>
        <v>1</v>
      </c>
      <c r="P4" t="s">
        <v>69</v>
      </c>
    </row>
    <row r="5" spans="3:18" ht="12.75">
      <c r="C5" s="1" t="s">
        <v>5</v>
      </c>
      <c r="E5" s="1"/>
      <c r="F5" t="s">
        <v>58</v>
      </c>
      <c r="L5">
        <f>215*O4</f>
        <v>215</v>
      </c>
      <c r="O5">
        <f>0.029*O4</f>
        <v>0.029</v>
      </c>
      <c r="R5" t="s">
        <v>6</v>
      </c>
    </row>
    <row r="6" spans="1:21" ht="12.75">
      <c r="A6" t="s">
        <v>7</v>
      </c>
      <c r="C6" t="s">
        <v>10</v>
      </c>
      <c r="D6" t="s">
        <v>9</v>
      </c>
      <c r="F6" t="s">
        <v>9</v>
      </c>
      <c r="H6" t="s">
        <v>63</v>
      </c>
      <c r="I6" t="s">
        <v>63</v>
      </c>
      <c r="K6">
        <v>6378.39</v>
      </c>
      <c r="L6" t="s">
        <v>8</v>
      </c>
      <c r="O6" t="s">
        <v>11</v>
      </c>
      <c r="S6" t="s">
        <v>12</v>
      </c>
      <c r="T6" t="s">
        <v>13</v>
      </c>
      <c r="U6" t="s">
        <v>14</v>
      </c>
    </row>
    <row r="7" spans="1:21" ht="12.75">
      <c r="A7" t="s">
        <v>15</v>
      </c>
      <c r="B7" t="s">
        <v>63</v>
      </c>
      <c r="C7" s="4"/>
      <c r="D7" s="3" t="s">
        <v>19</v>
      </c>
      <c r="E7" t="s">
        <v>20</v>
      </c>
      <c r="F7" t="s">
        <v>29</v>
      </c>
      <c r="G7" t="s">
        <v>20</v>
      </c>
      <c r="H7" t="s">
        <v>9</v>
      </c>
      <c r="I7" t="s">
        <v>62</v>
      </c>
      <c r="J7" t="s">
        <v>21</v>
      </c>
      <c r="K7" t="s">
        <v>16</v>
      </c>
      <c r="L7" t="s">
        <v>17</v>
      </c>
      <c r="M7" t="s">
        <v>114</v>
      </c>
      <c r="N7" t="s">
        <v>18</v>
      </c>
      <c r="O7" s="5" t="s">
        <v>22</v>
      </c>
      <c r="P7" s="4" t="s">
        <v>23</v>
      </c>
      <c r="R7" s="4"/>
      <c r="S7" s="4" t="s">
        <v>24</v>
      </c>
      <c r="T7" s="4" t="s">
        <v>24</v>
      </c>
      <c r="U7" s="4" t="s">
        <v>24</v>
      </c>
    </row>
    <row r="8" spans="1:22" ht="12.75">
      <c r="A8">
        <f aca="true" t="shared" si="0" ref="A8:A21">50+A9</f>
        <v>900</v>
      </c>
      <c r="B8" s="2">
        <f aca="true" t="shared" si="1" ref="B8:B22">L8*$C$2</f>
        <v>5419.322765025764</v>
      </c>
      <c r="C8" s="2">
        <f aca="true" t="shared" si="2" ref="C8:C22">(B8+P8)/2</f>
        <v>13918.68742440794</v>
      </c>
      <c r="D8" s="6">
        <f aca="true" t="shared" si="3" ref="D8:D22">(C8-B8)/D$4</f>
        <v>251.46049288112948</v>
      </c>
      <c r="E8" s="6">
        <f aca="true" t="shared" si="4" ref="E8:E22">$C$2*D8*$N8</f>
        <v>196.3472434628779</v>
      </c>
      <c r="F8" s="6">
        <f aca="true" t="shared" si="5" ref="F8:F22">MIN(B8/D$4+G$29,F$4)</f>
        <v>168</v>
      </c>
      <c r="G8" s="6">
        <f aca="true" t="shared" si="6" ref="G8:G22">$C$2*F8*$N8</f>
        <v>131.1790036033883</v>
      </c>
      <c r="H8" s="6">
        <f aca="true" t="shared" si="7" ref="H8:H22">B8/D$4</f>
        <v>160.33499304809953</v>
      </c>
      <c r="I8" s="2">
        <f aca="true" t="shared" si="8" ref="I8:I22">B8*B8/D$4</f>
        <v>868907.0778558135</v>
      </c>
      <c r="J8" s="9">
        <f aca="true" t="shared" si="9" ref="J8:J22">F8/D8</f>
        <v>0.6680969963715813</v>
      </c>
      <c r="K8">
        <f aca="true" t="shared" si="10" ref="K8:K22">ROUND(A8+K$6,0)</f>
        <v>7278</v>
      </c>
      <c r="L8" s="6">
        <f aca="true" t="shared" si="11" ref="L8:L22">L$5*(EXP(LN(K$6/K8)*3.5))</f>
        <v>135.4830691256441</v>
      </c>
      <c r="M8" s="8">
        <f aca="true" t="shared" si="12" ref="M8:M22">M$4/SQRT(K8)</f>
        <v>7.400340893643141</v>
      </c>
      <c r="N8" s="7">
        <f aca="true" t="shared" si="13" ref="N8:N22">O$5*EXP(LN(K$6/K8)*3)</f>
        <v>0.019520685060028024</v>
      </c>
      <c r="P8" s="6">
        <f aca="true" t="shared" si="14" ref="P8:P22">SQRT(B8*B8+P$23)</f>
        <v>22418.052083790117</v>
      </c>
      <c r="R8" s="8">
        <f aca="true" t="shared" si="15" ref="R8:R22">$C$2*21*$N8</f>
        <v>16.39737545042354</v>
      </c>
      <c r="S8" s="10">
        <f aca="true" t="shared" si="16" ref="S8:S22">N8/N$18</f>
        <v>0.8077343267828553</v>
      </c>
      <c r="T8" s="10">
        <f aca="true" t="shared" si="17" ref="T8:T22">E8/E$18</f>
        <v>0.8643774430563314</v>
      </c>
      <c r="U8" s="10">
        <f aca="true" t="shared" si="18" ref="U8:U22">F8/F$18</f>
        <v>1</v>
      </c>
      <c r="V8">
        <f aca="true" t="shared" si="19" ref="V8:V22">A8</f>
        <v>900</v>
      </c>
    </row>
    <row r="9" spans="1:22" ht="12.75">
      <c r="A9">
        <f t="shared" si="0"/>
        <v>850</v>
      </c>
      <c r="B9" s="2">
        <f t="shared" si="1"/>
        <v>5551.670642631166</v>
      </c>
      <c r="C9" s="2">
        <f t="shared" si="2"/>
        <v>14001.041855320344</v>
      </c>
      <c r="D9" s="6">
        <f t="shared" si="3"/>
        <v>249.9813968251236</v>
      </c>
      <c r="E9" s="6">
        <f t="shared" si="4"/>
        <v>199.27116444137064</v>
      </c>
      <c r="F9" s="6">
        <f t="shared" si="5"/>
        <v>168</v>
      </c>
      <c r="G9" s="6">
        <f t="shared" si="6"/>
        <v>133.92018786729858</v>
      </c>
      <c r="H9" s="6">
        <f t="shared" si="7"/>
        <v>164.25061072873274</v>
      </c>
      <c r="I9" s="2">
        <f t="shared" si="8"/>
        <v>911865.293616945</v>
      </c>
      <c r="J9" s="9">
        <f t="shared" si="9"/>
        <v>0.6720500090553766</v>
      </c>
      <c r="K9">
        <f t="shared" si="10"/>
        <v>7228</v>
      </c>
      <c r="L9" s="6">
        <f t="shared" si="11"/>
        <v>138.79176606577914</v>
      </c>
      <c r="M9" s="8">
        <f t="shared" si="12"/>
        <v>7.42589286834158</v>
      </c>
      <c r="N9" s="7">
        <f t="shared" si="13"/>
        <v>0.019928599385014668</v>
      </c>
      <c r="P9" s="6">
        <f t="shared" si="14"/>
        <v>22450.413068009522</v>
      </c>
      <c r="R9" s="8">
        <f t="shared" si="15"/>
        <v>16.740023483412322</v>
      </c>
      <c r="S9" s="10">
        <f t="shared" si="16"/>
        <v>0.8246131607820191</v>
      </c>
      <c r="T9" s="10">
        <f t="shared" si="17"/>
        <v>0.8772493901970925</v>
      </c>
      <c r="U9" s="10">
        <f t="shared" si="18"/>
        <v>1</v>
      </c>
      <c r="V9">
        <f t="shared" si="19"/>
        <v>850</v>
      </c>
    </row>
    <row r="10" spans="1:22" ht="12.75">
      <c r="A10">
        <f t="shared" si="0"/>
        <v>800</v>
      </c>
      <c r="B10" s="2">
        <f t="shared" si="1"/>
        <v>5688.203273795472</v>
      </c>
      <c r="C10" s="2">
        <f t="shared" si="2"/>
        <v>14086.384061788349</v>
      </c>
      <c r="D10" s="6">
        <f t="shared" si="3"/>
        <v>248.46688721872417</v>
      </c>
      <c r="E10" s="6">
        <f t="shared" si="4"/>
        <v>202.23175792803275</v>
      </c>
      <c r="F10" s="6">
        <f t="shared" si="5"/>
        <v>168</v>
      </c>
      <c r="G10" s="6">
        <f t="shared" si="6"/>
        <v>136.7382821599143</v>
      </c>
      <c r="H10" s="6">
        <f t="shared" si="7"/>
        <v>168.2900376862566</v>
      </c>
      <c r="I10" s="2">
        <f t="shared" si="8"/>
        <v>957267.9433141281</v>
      </c>
      <c r="J10" s="9">
        <f t="shared" si="9"/>
        <v>0.6761464349658409</v>
      </c>
      <c r="K10">
        <f t="shared" si="10"/>
        <v>7178</v>
      </c>
      <c r="L10" s="6">
        <f t="shared" si="11"/>
        <v>142.20508184488682</v>
      </c>
      <c r="M10" s="8">
        <f t="shared" si="12"/>
        <v>7.451711362434347</v>
      </c>
      <c r="N10" s="7">
        <f t="shared" si="13"/>
        <v>0.02034795865474915</v>
      </c>
      <c r="P10" s="6">
        <f t="shared" si="14"/>
        <v>22484.564849781225</v>
      </c>
      <c r="R10" s="8">
        <f t="shared" si="15"/>
        <v>17.092285269989286</v>
      </c>
      <c r="S10" s="10">
        <f t="shared" si="16"/>
        <v>0.8419655680555088</v>
      </c>
      <c r="T10" s="10">
        <f t="shared" si="17"/>
        <v>0.890282780342007</v>
      </c>
      <c r="U10" s="10">
        <f t="shared" si="18"/>
        <v>1</v>
      </c>
      <c r="V10">
        <f t="shared" si="19"/>
        <v>800</v>
      </c>
    </row>
    <row r="11" spans="1:22" ht="12.75">
      <c r="A11">
        <f t="shared" si="0"/>
        <v>750</v>
      </c>
      <c r="B11" s="2">
        <f t="shared" si="1"/>
        <v>5829.083524653917</v>
      </c>
      <c r="C11" s="2">
        <f t="shared" si="2"/>
        <v>14174.85053626153</v>
      </c>
      <c r="D11" s="6">
        <f t="shared" si="3"/>
        <v>246.91618377537318</v>
      </c>
      <c r="E11" s="6">
        <f t="shared" si="4"/>
        <v>205.22850562544596</v>
      </c>
      <c r="F11" s="6">
        <f t="shared" si="5"/>
        <v>168</v>
      </c>
      <c r="G11" s="6">
        <f t="shared" si="6"/>
        <v>139.63600286500827</v>
      </c>
      <c r="H11" s="6">
        <f t="shared" si="7"/>
        <v>172.4580924453822</v>
      </c>
      <c r="I11" s="2">
        <f t="shared" si="8"/>
        <v>1005272.6253666194</v>
      </c>
      <c r="J11" s="9">
        <f t="shared" si="9"/>
        <v>0.6803928257405536</v>
      </c>
      <c r="K11">
        <f t="shared" si="10"/>
        <v>7128</v>
      </c>
      <c r="L11" s="6">
        <f t="shared" si="11"/>
        <v>145.72708811634794</v>
      </c>
      <c r="M11" s="8">
        <f t="shared" si="12"/>
        <v>7.477801041583576</v>
      </c>
      <c r="N11" s="7">
        <f t="shared" si="13"/>
        <v>0.020779167093007183</v>
      </c>
      <c r="P11" s="6">
        <f t="shared" si="14"/>
        <v>22520.617547869144</v>
      </c>
      <c r="R11" s="8">
        <f t="shared" si="15"/>
        <v>17.454500358126033</v>
      </c>
      <c r="S11" s="10">
        <f t="shared" si="16"/>
        <v>0.8598082747283728</v>
      </c>
      <c r="T11" s="10">
        <f t="shared" si="17"/>
        <v>0.9034753317957009</v>
      </c>
      <c r="U11" s="10">
        <f t="shared" si="18"/>
        <v>1</v>
      </c>
      <c r="V11">
        <f t="shared" si="19"/>
        <v>750</v>
      </c>
    </row>
    <row r="12" spans="1:22" ht="12.75">
      <c r="A12">
        <f t="shared" si="0"/>
        <v>700</v>
      </c>
      <c r="B12" s="2">
        <f t="shared" si="1"/>
        <v>5974.481805691813</v>
      </c>
      <c r="C12" s="2">
        <f t="shared" si="2"/>
        <v>14266.585219411281</v>
      </c>
      <c r="D12" s="6">
        <f t="shared" si="3"/>
        <v>245.32850336448135</v>
      </c>
      <c r="E12" s="6">
        <f t="shared" si="4"/>
        <v>208.26080096564965</v>
      </c>
      <c r="F12" s="6">
        <f t="shared" si="5"/>
        <v>168</v>
      </c>
      <c r="G12" s="6">
        <f t="shared" si="6"/>
        <v>142.61618231228599</v>
      </c>
      <c r="H12" s="6">
        <f t="shared" si="7"/>
        <v>176.75981673644418</v>
      </c>
      <c r="I12" s="2">
        <f t="shared" si="8"/>
        <v>1056048.309069305</v>
      </c>
      <c r="J12" s="9">
        <f t="shared" si="9"/>
        <v>0.6847960905317414</v>
      </c>
      <c r="K12">
        <f t="shared" si="10"/>
        <v>7078</v>
      </c>
      <c r="L12" s="6">
        <f t="shared" si="11"/>
        <v>149.36204514229533</v>
      </c>
      <c r="M12" s="8">
        <f t="shared" si="12"/>
        <v>7.504166686605251</v>
      </c>
      <c r="N12" s="7">
        <f t="shared" si="13"/>
        <v>0.02122264617742351</v>
      </c>
      <c r="P12" s="6">
        <f t="shared" si="14"/>
        <v>22558.68863313075</v>
      </c>
      <c r="R12" s="8">
        <f t="shared" si="15"/>
        <v>17.827022789035748</v>
      </c>
      <c r="S12" s="10">
        <f t="shared" si="16"/>
        <v>0.8781587208623972</v>
      </c>
      <c r="T12" s="10">
        <f t="shared" si="17"/>
        <v>0.9168243742703025</v>
      </c>
      <c r="U12" s="10">
        <f t="shared" si="18"/>
        <v>1</v>
      </c>
      <c r="V12">
        <f t="shared" si="19"/>
        <v>700</v>
      </c>
    </row>
    <row r="13" spans="1:22" ht="12.75">
      <c r="A13">
        <f t="shared" si="0"/>
        <v>650</v>
      </c>
      <c r="B13" s="2">
        <f t="shared" si="1"/>
        <v>6124.576477871896</v>
      </c>
      <c r="C13" s="2">
        <f t="shared" si="2"/>
        <v>14361.739962728807</v>
      </c>
      <c r="D13" s="6">
        <f t="shared" si="3"/>
        <v>243.70306168215717</v>
      </c>
      <c r="E13" s="6">
        <f t="shared" si="4"/>
        <v>211.32794344940223</v>
      </c>
      <c r="F13" s="6">
        <f t="shared" si="5"/>
        <v>168</v>
      </c>
      <c r="G13" s="6">
        <f t="shared" si="6"/>
        <v>145.68177459257151</v>
      </c>
      <c r="H13" s="6">
        <f t="shared" si="7"/>
        <v>181.20048751100285</v>
      </c>
      <c r="I13" s="2">
        <f t="shared" si="8"/>
        <v>1109776.2435888082</v>
      </c>
      <c r="J13" s="9">
        <f t="shared" si="9"/>
        <v>0.6893635182109827</v>
      </c>
      <c r="K13">
        <f t="shared" si="10"/>
        <v>7028</v>
      </c>
      <c r="L13" s="6">
        <f t="shared" si="11"/>
        <v>153.1144119467974</v>
      </c>
      <c r="M13" s="8">
        <f t="shared" si="12"/>
        <v>7.5308131971493335</v>
      </c>
      <c r="N13" s="7">
        <f t="shared" si="13"/>
        <v>0.021678835504846953</v>
      </c>
      <c r="P13" s="6">
        <f t="shared" si="14"/>
        <v>22598.90344758572</v>
      </c>
      <c r="R13" s="8">
        <f t="shared" si="15"/>
        <v>18.21022182407144</v>
      </c>
      <c r="S13" s="10">
        <f t="shared" si="16"/>
        <v>0.8970350962630959</v>
      </c>
      <c r="T13" s="10">
        <f t="shared" si="17"/>
        <v>0.9303268239652316</v>
      </c>
      <c r="U13" s="10">
        <f t="shared" si="18"/>
        <v>1</v>
      </c>
      <c r="V13">
        <f t="shared" si="19"/>
        <v>650</v>
      </c>
    </row>
    <row r="14" spans="1:22" ht="12.75">
      <c r="A14">
        <f t="shared" si="0"/>
        <v>600</v>
      </c>
      <c r="B14" s="2">
        <f t="shared" si="1"/>
        <v>6279.554283718152</v>
      </c>
      <c r="C14" s="2">
        <f t="shared" si="2"/>
        <v>14460.475022314182</v>
      </c>
      <c r="D14" s="6">
        <f t="shared" si="3"/>
        <v>242.03907510639144</v>
      </c>
      <c r="E14" s="6">
        <f t="shared" si="4"/>
        <v>214.4291328014331</v>
      </c>
      <c r="F14" s="6">
        <f t="shared" si="5"/>
        <v>168</v>
      </c>
      <c r="G14" s="6">
        <f t="shared" si="6"/>
        <v>148.8358617087175</v>
      </c>
      <c r="H14" s="6">
        <f t="shared" si="7"/>
        <v>185.78562969580332</v>
      </c>
      <c r="I14" s="2">
        <f t="shared" si="8"/>
        <v>1166650.946809556</v>
      </c>
      <c r="J14" s="9">
        <f t="shared" si="9"/>
        <v>0.6941028010710808</v>
      </c>
      <c r="K14">
        <f t="shared" si="10"/>
        <v>6978</v>
      </c>
      <c r="L14" s="6">
        <f t="shared" si="11"/>
        <v>156.9888570929538</v>
      </c>
      <c r="M14" s="8">
        <f t="shared" si="12"/>
        <v>7.55774559552466</v>
      </c>
      <c r="N14" s="7">
        <f t="shared" si="13"/>
        <v>0.022148193706654388</v>
      </c>
      <c r="P14" s="6">
        <f t="shared" si="14"/>
        <v>22641.39576091021</v>
      </c>
      <c r="R14" s="8">
        <f t="shared" si="15"/>
        <v>18.604482713589686</v>
      </c>
      <c r="S14" s="10">
        <f t="shared" si="16"/>
        <v>0.9164563783539199</v>
      </c>
      <c r="T14" s="10">
        <f t="shared" si="17"/>
        <v>0.9439791578369254</v>
      </c>
      <c r="U14" s="10">
        <f t="shared" si="18"/>
        <v>1</v>
      </c>
      <c r="V14">
        <f t="shared" si="19"/>
        <v>600</v>
      </c>
    </row>
    <row r="15" spans="1:22" ht="12.75">
      <c r="A15">
        <f t="shared" si="0"/>
        <v>550</v>
      </c>
      <c r="B15" s="2">
        <f t="shared" si="1"/>
        <v>6439.610805082648</v>
      </c>
      <c r="C15" s="16">
        <f t="shared" si="2"/>
        <v>14562.959586022844</v>
      </c>
      <c r="D15" s="13">
        <f t="shared" si="3"/>
        <v>240.33576274970994</v>
      </c>
      <c r="E15" s="13">
        <f t="shared" si="4"/>
        <v>217.56346295582713</v>
      </c>
      <c r="F15" s="13">
        <f t="shared" si="5"/>
        <v>168</v>
      </c>
      <c r="G15" s="13">
        <f t="shared" si="6"/>
        <v>152.08166008420267</v>
      </c>
      <c r="H15" s="13">
        <f t="shared" si="7"/>
        <v>190.52102973617303</v>
      </c>
      <c r="I15" s="2">
        <f t="shared" si="8"/>
        <v>1226881.2816845323</v>
      </c>
      <c r="J15" s="9">
        <f t="shared" si="9"/>
        <v>0.6990220601290964</v>
      </c>
      <c r="K15">
        <f t="shared" si="10"/>
        <v>6928</v>
      </c>
      <c r="L15" s="6">
        <f t="shared" si="11"/>
        <v>160.9902701270662</v>
      </c>
      <c r="M15" s="8">
        <f t="shared" si="12"/>
        <v>7.584969030675396</v>
      </c>
      <c r="N15" s="7">
        <f t="shared" si="13"/>
        <v>0.022631199417292063</v>
      </c>
      <c r="P15" s="6">
        <f t="shared" si="14"/>
        <v>22686.30836696304</v>
      </c>
      <c r="R15" s="8">
        <f t="shared" si="15"/>
        <v>19.010207510525333</v>
      </c>
      <c r="S15" s="10">
        <f t="shared" si="16"/>
        <v>0.9364423722529289</v>
      </c>
      <c r="T15" s="10">
        <f t="shared" si="17"/>
        <v>0.957777387120759</v>
      </c>
      <c r="U15" s="10">
        <f t="shared" si="18"/>
        <v>1</v>
      </c>
      <c r="V15">
        <f t="shared" si="19"/>
        <v>550</v>
      </c>
    </row>
    <row r="16" spans="1:22" ht="12.75">
      <c r="A16">
        <f t="shared" si="0"/>
        <v>500</v>
      </c>
      <c r="B16" s="2">
        <f t="shared" si="1"/>
        <v>6604.950949454761</v>
      </c>
      <c r="C16" s="2">
        <f t="shared" si="2"/>
        <v>14669.372336280045</v>
      </c>
      <c r="D16" s="6">
        <f t="shared" si="3"/>
        <v>238.59234872264156</v>
      </c>
      <c r="E16" s="6">
        <f t="shared" si="4"/>
        <v>220.72991588939104</v>
      </c>
      <c r="F16" s="6">
        <f t="shared" si="5"/>
        <v>168</v>
      </c>
      <c r="G16" s="6">
        <f t="shared" si="6"/>
        <v>155.42252745298822</v>
      </c>
      <c r="H16" s="6">
        <f t="shared" si="7"/>
        <v>195.41274998386868</v>
      </c>
      <c r="I16" s="2">
        <f t="shared" si="8"/>
        <v>1290691.6285415194</v>
      </c>
      <c r="J16" s="9">
        <f t="shared" si="9"/>
        <v>0.7041298721414422</v>
      </c>
      <c r="K16">
        <f t="shared" si="10"/>
        <v>6878</v>
      </c>
      <c r="L16" s="6">
        <f t="shared" si="11"/>
        <v>165.12377373636903</v>
      </c>
      <c r="M16" s="8">
        <f t="shared" si="12"/>
        <v>7.612488782316189</v>
      </c>
      <c r="N16" s="7">
        <f t="shared" si="13"/>
        <v>0.02312835229955182</v>
      </c>
      <c r="P16" s="6">
        <f t="shared" si="14"/>
        <v>22733.79372310533</v>
      </c>
      <c r="R16" s="8">
        <f t="shared" si="15"/>
        <v>19.427815931623527</v>
      </c>
      <c r="S16" s="10">
        <f t="shared" si="16"/>
        <v>0.9570137531970598</v>
      </c>
      <c r="T16" s="10">
        <f t="shared" si="17"/>
        <v>0.9717170301837371</v>
      </c>
      <c r="U16" s="10">
        <f t="shared" si="18"/>
        <v>1</v>
      </c>
      <c r="V16">
        <f t="shared" si="19"/>
        <v>500</v>
      </c>
    </row>
    <row r="17" spans="1:22" ht="12.75">
      <c r="A17">
        <f t="shared" si="0"/>
        <v>450</v>
      </c>
      <c r="B17" s="2">
        <f t="shared" si="1"/>
        <v>6775.7894668165245</v>
      </c>
      <c r="C17" s="2">
        <f t="shared" si="2"/>
        <v>14779.90205102597</v>
      </c>
      <c r="D17" s="6">
        <f t="shared" si="3"/>
        <v>236.80806462158128</v>
      </c>
      <c r="E17" s="6">
        <f t="shared" si="4"/>
        <v>223.92735532500174</v>
      </c>
      <c r="F17" s="6">
        <f t="shared" si="5"/>
        <v>168</v>
      </c>
      <c r="G17" s="6">
        <f t="shared" si="6"/>
        <v>158.8619701559431</v>
      </c>
      <c r="H17" s="6">
        <f t="shared" si="7"/>
        <v>200.46714398865458</v>
      </c>
      <c r="I17" s="2">
        <f t="shared" si="8"/>
        <v>1358323.1626811172</v>
      </c>
      <c r="J17" s="9">
        <f t="shared" si="9"/>
        <v>0.7094352984492467</v>
      </c>
      <c r="K17">
        <f t="shared" si="10"/>
        <v>6828</v>
      </c>
      <c r="L17" s="6">
        <f t="shared" si="11"/>
        <v>169.39473667041312</v>
      </c>
      <c r="M17" s="8">
        <f t="shared" si="12"/>
        <v>7.640310265233565</v>
      </c>
      <c r="N17" s="7">
        <f t="shared" si="13"/>
        <v>0.023640174130348676</v>
      </c>
      <c r="P17" s="6">
        <f t="shared" si="14"/>
        <v>22784.014635235417</v>
      </c>
      <c r="R17" s="8">
        <f t="shared" si="15"/>
        <v>19.85774626949289</v>
      </c>
      <c r="S17" s="10">
        <f t="shared" si="16"/>
        <v>0.9781921114698444</v>
      </c>
      <c r="T17" s="10">
        <f t="shared" si="17"/>
        <v>0.9857930848048104</v>
      </c>
      <c r="U17" s="10">
        <f t="shared" si="18"/>
        <v>1</v>
      </c>
      <c r="V17">
        <f t="shared" si="19"/>
        <v>450</v>
      </c>
    </row>
    <row r="18" spans="1:22" ht="12.75">
      <c r="A18">
        <f t="shared" si="0"/>
        <v>400</v>
      </c>
      <c r="B18" s="2">
        <f t="shared" si="1"/>
        <v>6952.351499204424</v>
      </c>
      <c r="C18" s="2">
        <f t="shared" si="2"/>
        <v>14894.748245414572</v>
      </c>
      <c r="D18" s="6">
        <f t="shared" si="3"/>
        <v>234.98215225473814</v>
      </c>
      <c r="E18" s="15">
        <f t="shared" si="4"/>
        <v>227.1545203315561</v>
      </c>
      <c r="F18" s="15">
        <f t="shared" si="5"/>
        <v>168</v>
      </c>
      <c r="G18" s="15">
        <f t="shared" si="6"/>
        <v>162.4036508710288</v>
      </c>
      <c r="H18" s="6">
        <f t="shared" si="7"/>
        <v>205.69087275752736</v>
      </c>
      <c r="I18" s="2">
        <f t="shared" si="8"/>
        <v>1430035.2475884617</v>
      </c>
      <c r="J18" s="9">
        <f t="shared" si="9"/>
        <v>0.7149479157798994</v>
      </c>
      <c r="K18">
        <f t="shared" si="10"/>
        <v>6778</v>
      </c>
      <c r="L18" s="6">
        <f t="shared" si="11"/>
        <v>173.8087874801106</v>
      </c>
      <c r="M18" s="8">
        <f t="shared" si="12"/>
        <v>7.668439033761535</v>
      </c>
      <c r="N18" s="7">
        <f t="shared" si="13"/>
        <v>0.024167209951045952</v>
      </c>
      <c r="P18" s="6">
        <f t="shared" si="14"/>
        <v>22837.14499162472</v>
      </c>
      <c r="R18" s="8">
        <f t="shared" si="15"/>
        <v>20.3004563588786</v>
      </c>
      <c r="S18" s="10">
        <f t="shared" si="16"/>
        <v>1</v>
      </c>
      <c r="T18" s="10">
        <f t="shared" si="17"/>
        <v>1</v>
      </c>
      <c r="U18" s="10">
        <f t="shared" si="18"/>
        <v>1</v>
      </c>
      <c r="V18">
        <f t="shared" si="19"/>
        <v>400</v>
      </c>
    </row>
    <row r="19" spans="1:22" ht="12.75">
      <c r="A19">
        <f t="shared" si="0"/>
        <v>350</v>
      </c>
      <c r="B19" s="2">
        <f t="shared" si="1"/>
        <v>7134.8731653081195</v>
      </c>
      <c r="C19" s="2">
        <f t="shared" si="2"/>
        <v>15014.121857058108</v>
      </c>
      <c r="D19" s="6">
        <f t="shared" si="3"/>
        <v>233.11386661982215</v>
      </c>
      <c r="E19" s="6">
        <f t="shared" si="4"/>
        <v>230.4100188522548</v>
      </c>
      <c r="F19" s="6">
        <f t="shared" si="5"/>
        <v>168</v>
      </c>
      <c r="G19" s="6">
        <f t="shared" si="6"/>
        <v>166.05139680647085</v>
      </c>
      <c r="H19" s="6">
        <f t="shared" si="7"/>
        <v>211.0909220505361</v>
      </c>
      <c r="I19" s="2">
        <f t="shared" si="8"/>
        <v>1506106.9551785178</v>
      </c>
      <c r="J19" s="9">
        <f t="shared" si="9"/>
        <v>0.7206778491387892</v>
      </c>
      <c r="K19">
        <f t="shared" si="10"/>
        <v>6728</v>
      </c>
      <c r="L19" s="6">
        <f t="shared" si="11"/>
        <v>178.371829132703</v>
      </c>
      <c r="M19" s="8">
        <f t="shared" si="12"/>
        <v>7.696880786439783</v>
      </c>
      <c r="N19" s="7">
        <f t="shared" si="13"/>
        <v>0.02471002928667721</v>
      </c>
      <c r="P19" s="6">
        <f t="shared" si="14"/>
        <v>22893.370548808096</v>
      </c>
      <c r="R19" s="8">
        <f t="shared" si="15"/>
        <v>20.756424600808856</v>
      </c>
      <c r="S19" s="10">
        <f t="shared" si="16"/>
        <v>1.022460984810858</v>
      </c>
      <c r="T19" s="10">
        <f t="shared" si="17"/>
        <v>1.0143316475320276</v>
      </c>
      <c r="U19" s="10">
        <f t="shared" si="18"/>
        <v>1</v>
      </c>
      <c r="V19">
        <f t="shared" si="19"/>
        <v>350</v>
      </c>
    </row>
    <row r="20" spans="1:22" ht="12.75">
      <c r="A20">
        <f t="shared" si="0"/>
        <v>300</v>
      </c>
      <c r="B20" s="2">
        <f t="shared" si="1"/>
        <v>7323.6021826214455</v>
      </c>
      <c r="C20" s="2">
        <f t="shared" si="2"/>
        <v>15138.245977786864</v>
      </c>
      <c r="D20" s="6">
        <f t="shared" si="3"/>
        <v>231.20247914690592</v>
      </c>
      <c r="E20" s="6">
        <f t="shared" si="4"/>
        <v>233.6923211985674</v>
      </c>
      <c r="F20" s="6">
        <f t="shared" si="5"/>
        <v>168</v>
      </c>
      <c r="G20" s="6">
        <f t="shared" si="6"/>
        <v>169.8092083883467</v>
      </c>
      <c r="H20" s="6">
        <f t="shared" si="7"/>
        <v>216.67462078761676</v>
      </c>
      <c r="I20" s="2">
        <f t="shared" si="8"/>
        <v>1586838.7257188642</v>
      </c>
      <c r="J20" s="9">
        <f t="shared" si="9"/>
        <v>0.7266358069337695</v>
      </c>
      <c r="K20">
        <f t="shared" si="10"/>
        <v>6678</v>
      </c>
      <c r="L20" s="6">
        <f t="shared" si="11"/>
        <v>183.09005456553615</v>
      </c>
      <c r="M20" s="8">
        <f t="shared" si="12"/>
        <v>7.725641370863326</v>
      </c>
      <c r="N20" s="7">
        <f t="shared" si="13"/>
        <v>0.02526922743874207</v>
      </c>
      <c r="P20" s="6">
        <f t="shared" si="14"/>
        <v>22952.889772952283</v>
      </c>
      <c r="R20" s="8">
        <f t="shared" si="15"/>
        <v>21.226151048543336</v>
      </c>
      <c r="S20" s="10">
        <f t="shared" si="16"/>
        <v>1.0455996985141605</v>
      </c>
      <c r="T20" s="10">
        <f t="shared" si="17"/>
        <v>1.028781293268867</v>
      </c>
      <c r="U20" s="10">
        <f t="shared" si="18"/>
        <v>1</v>
      </c>
      <c r="V20">
        <f t="shared" si="19"/>
        <v>300</v>
      </c>
    </row>
    <row r="21" spans="1:22" ht="12.75">
      <c r="A21">
        <f t="shared" si="0"/>
        <v>250</v>
      </c>
      <c r="B21" s="2">
        <f t="shared" si="1"/>
        <v>7518.798529862228</v>
      </c>
      <c r="C21" s="2">
        <f t="shared" si="2"/>
        <v>15267.356635080021</v>
      </c>
      <c r="D21" s="6">
        <f t="shared" si="3"/>
        <v>229.24728121946134</v>
      </c>
      <c r="E21" s="6">
        <f t="shared" si="4"/>
        <v>236.99975355336076</v>
      </c>
      <c r="F21" s="6">
        <f t="shared" si="5"/>
        <v>168</v>
      </c>
      <c r="G21" s="6">
        <f t="shared" si="6"/>
        <v>173.6812684764112</v>
      </c>
      <c r="H21" s="6">
        <f t="shared" si="7"/>
        <v>222.4496606468115</v>
      </c>
      <c r="I21" s="2">
        <f t="shared" si="8"/>
        <v>1672554.1814395979</v>
      </c>
      <c r="J21" s="9">
        <f t="shared" si="9"/>
        <v>0.7328331184838413</v>
      </c>
      <c r="K21">
        <f t="shared" si="10"/>
        <v>6628</v>
      </c>
      <c r="L21" s="6">
        <f t="shared" si="11"/>
        <v>187.9699632465557</v>
      </c>
      <c r="M21" s="8">
        <f t="shared" si="12"/>
        <v>7.754726788733036</v>
      </c>
      <c r="N21" s="7">
        <f t="shared" si="13"/>
        <v>0.02584542685660881</v>
      </c>
      <c r="P21" s="6">
        <f t="shared" si="14"/>
        <v>23015.914740297816</v>
      </c>
      <c r="R21" s="8">
        <f t="shared" si="15"/>
        <v>21.7101585595514</v>
      </c>
      <c r="S21" s="10">
        <f t="shared" si="16"/>
        <v>1.0694418970564794</v>
      </c>
      <c r="T21" s="10">
        <f t="shared" si="17"/>
        <v>1.0433415685826304</v>
      </c>
      <c r="U21" s="10">
        <f t="shared" si="18"/>
        <v>1</v>
      </c>
      <c r="V21">
        <f t="shared" si="19"/>
        <v>250</v>
      </c>
    </row>
    <row r="22" spans="1:22" ht="12.75">
      <c r="A22">
        <v>200</v>
      </c>
      <c r="B22" s="2">
        <f t="shared" si="1"/>
        <v>7720.735152596239</v>
      </c>
      <c r="C22" s="2">
        <f t="shared" si="2"/>
        <v>15401.703626519247</v>
      </c>
      <c r="D22" s="6">
        <f t="shared" si="3"/>
        <v>227.24758798588786</v>
      </c>
      <c r="E22" s="6">
        <f t="shared" si="4"/>
        <v>240.33049153331763</v>
      </c>
      <c r="F22" s="6">
        <f t="shared" si="5"/>
        <v>168</v>
      </c>
      <c r="G22" s="6">
        <f t="shared" si="6"/>
        <v>177.67195214456882</v>
      </c>
      <c r="H22" s="6">
        <f t="shared" si="7"/>
        <v>228.42411694071714</v>
      </c>
      <c r="I22" s="2">
        <f t="shared" si="8"/>
        <v>1763602.1093649487</v>
      </c>
      <c r="J22" s="9">
        <f t="shared" si="9"/>
        <v>0.7392817740729237</v>
      </c>
      <c r="K22">
        <f t="shared" si="10"/>
        <v>6578</v>
      </c>
      <c r="L22" s="6">
        <f t="shared" si="11"/>
        <v>193.01837881490596</v>
      </c>
      <c r="M22" s="8">
        <f t="shared" si="12"/>
        <v>7.784143201116875</v>
      </c>
      <c r="N22" s="7">
        <f t="shared" si="13"/>
        <v>0.02643927859294179</v>
      </c>
      <c r="P22" s="6">
        <f t="shared" si="14"/>
        <v>23082.672100442254</v>
      </c>
      <c r="R22" s="8">
        <f t="shared" si="15"/>
        <v>22.208994018071103</v>
      </c>
      <c r="S22" s="10">
        <f t="shared" si="16"/>
        <v>1.0940145199424438</v>
      </c>
      <c r="T22" s="10">
        <f t="shared" si="17"/>
        <v>1.0580044420094734</v>
      </c>
      <c r="U22" s="10">
        <f t="shared" si="18"/>
        <v>1</v>
      </c>
      <c r="V22">
        <f t="shared" si="19"/>
        <v>200</v>
      </c>
    </row>
    <row r="23" spans="3:18" ht="12.75">
      <c r="C23" s="6"/>
      <c r="D23" s="7"/>
      <c r="E23" s="10"/>
      <c r="I23" s="6"/>
      <c r="J23" s="6"/>
      <c r="K23" s="10"/>
      <c r="L23" s="8"/>
      <c r="M23" s="6"/>
      <c r="O23" t="s">
        <v>25</v>
      </c>
      <c r="P23">
        <f>C1*D4*4</f>
        <v>473199999.99999994</v>
      </c>
      <c r="R23" s="8"/>
    </row>
    <row r="24" spans="1:18" ht="12.75">
      <c r="A24" t="s">
        <v>26</v>
      </c>
      <c r="C24" s="6"/>
      <c r="D24" s="7"/>
      <c r="E24" s="10"/>
      <c r="I24" s="6"/>
      <c r="J24" s="6"/>
      <c r="K24" s="10"/>
      <c r="L24" s="8"/>
      <c r="M24" s="6"/>
      <c r="O24" s="6"/>
      <c r="P24" s="6"/>
      <c r="R24" s="8"/>
    </row>
    <row r="25" spans="1:18" ht="12.75">
      <c r="A25" t="s">
        <v>27</v>
      </c>
      <c r="C25" s="6"/>
      <c r="D25" s="7"/>
      <c r="E25" s="10"/>
      <c r="I25" s="6"/>
      <c r="J25" s="6"/>
      <c r="K25" s="10"/>
      <c r="L25" s="8"/>
      <c r="M25" s="6"/>
      <c r="O25" s="6"/>
      <c r="P25" s="6"/>
      <c r="R25" s="8"/>
    </row>
    <row r="27" spans="1:17" ht="12.75">
      <c r="A27" t="s">
        <v>28</v>
      </c>
      <c r="E27" t="s">
        <v>29</v>
      </c>
      <c r="M27" t="s">
        <v>30</v>
      </c>
      <c r="Q27" t="s">
        <v>31</v>
      </c>
    </row>
    <row r="28" spans="1:18" ht="12.75">
      <c r="A28" t="s">
        <v>32</v>
      </c>
      <c r="E28" t="s">
        <v>33</v>
      </c>
      <c r="R28" t="s">
        <v>34</v>
      </c>
    </row>
    <row r="29" spans="1:18" ht="12.75">
      <c r="A29" t="s">
        <v>35</v>
      </c>
      <c r="E29" t="s">
        <v>36</v>
      </c>
      <c r="G29" s="9">
        <f>SQRT(C1/D4)</f>
        <v>321.7923178977214</v>
      </c>
      <c r="M29" t="s">
        <v>37</v>
      </c>
      <c r="R29" t="s">
        <v>38</v>
      </c>
    </row>
    <row r="30" spans="1:17" ht="12.75">
      <c r="A30" t="s">
        <v>39</v>
      </c>
      <c r="E30" t="s">
        <v>40</v>
      </c>
      <c r="Q30" t="s">
        <v>41</v>
      </c>
    </row>
    <row r="31" spans="1:7" ht="12.75">
      <c r="A31" t="s">
        <v>42</v>
      </c>
      <c r="E31" t="s">
        <v>66</v>
      </c>
      <c r="G31" s="2">
        <f>C1/G29</f>
        <v>10876.580344942982</v>
      </c>
    </row>
    <row r="32" ht="12.75">
      <c r="A32" t="s">
        <v>43</v>
      </c>
    </row>
    <row r="38" spans="1:5" ht="12.75">
      <c r="A38" t="str">
        <f>A1</f>
        <v>Constant power</v>
      </c>
      <c r="C38">
        <f>C1</f>
        <v>3500000</v>
      </c>
      <c r="D38" t="str">
        <f>D1</f>
        <v>Watts</v>
      </c>
      <c r="E38" t="s">
        <v>44</v>
      </c>
    </row>
    <row r="39" spans="1:10" ht="12.75">
      <c r="A39" t="str">
        <f>A2</f>
        <v>Tether length</v>
      </c>
      <c r="C39">
        <f>C2</f>
        <v>40</v>
      </c>
      <c r="D39" t="str">
        <f>D2</f>
        <v>Km</v>
      </c>
      <c r="E39" t="e">
        <f>#REF!</f>
        <v>#REF!</v>
      </c>
      <c r="I39">
        <v>0</v>
      </c>
      <c r="J39" t="s">
        <v>65</v>
      </c>
    </row>
    <row r="40" spans="3:10" ht="12.75">
      <c r="C40" t="s">
        <v>28</v>
      </c>
      <c r="D40">
        <v>280</v>
      </c>
      <c r="E40" t="s">
        <v>47</v>
      </c>
      <c r="H40" t="s">
        <v>29</v>
      </c>
      <c r="I40">
        <f>I39+D40</f>
        <v>280</v>
      </c>
      <c r="J40" t="s">
        <v>50</v>
      </c>
    </row>
    <row r="41" spans="1:12" ht="12.75">
      <c r="A41" t="str">
        <f aca="true" t="shared" si="20" ref="A41:A50">A7</f>
        <v>Altitude</v>
      </c>
      <c r="B41" t="str">
        <f aca="true" t="shared" si="21" ref="B41:B50">K7</f>
        <v>Radius</v>
      </c>
      <c r="C41" t="str">
        <f aca="true" t="shared" si="22" ref="C41:C50">E7</f>
        <v>Newtons</v>
      </c>
      <c r="D41" t="s">
        <v>48</v>
      </c>
      <c r="E41" t="s">
        <v>49</v>
      </c>
      <c r="F41" t="s">
        <v>45</v>
      </c>
      <c r="G41" t="s">
        <v>46</v>
      </c>
      <c r="H41" t="str">
        <f aca="true" t="shared" si="23" ref="H41:H50">G7</f>
        <v>Newtons</v>
      </c>
      <c r="I41" t="s">
        <v>48</v>
      </c>
      <c r="J41" t="s">
        <v>49</v>
      </c>
      <c r="K41" t="s">
        <v>45</v>
      </c>
      <c r="L41" t="s">
        <v>46</v>
      </c>
    </row>
    <row r="42" spans="1:12" ht="12.75">
      <c r="A42">
        <f t="shared" si="20"/>
        <v>900</v>
      </c>
      <c r="B42">
        <f t="shared" si="21"/>
        <v>7278</v>
      </c>
      <c r="C42" s="8">
        <f t="shared" si="22"/>
        <v>196.3472434628779</v>
      </c>
      <c r="D42" s="11">
        <f aca="true" t="shared" si="24" ref="D42:D50">C42/D$40/1000</f>
        <v>0.000701240155224564</v>
      </c>
      <c r="H42" s="8">
        <f t="shared" si="23"/>
        <v>131.1790036033883</v>
      </c>
      <c r="I42" s="11">
        <f aca="true" t="shared" si="25" ref="I42:I50">H42/I$40/1000</f>
        <v>0.00046849644144067253</v>
      </c>
      <c r="J42">
        <f aca="true" t="shared" si="26" ref="J42:J49">E43</f>
        <v>26</v>
      </c>
      <c r="K42" s="2">
        <f aca="true" t="shared" si="27" ref="K42:K49">J42/I42</f>
        <v>55496.68620757812</v>
      </c>
      <c r="L42" s="9">
        <f aca="true" t="shared" si="28" ref="L42:L49">K42/3600</f>
        <v>15.4157461687717</v>
      </c>
    </row>
    <row r="43" spans="1:12" ht="12.75">
      <c r="A43">
        <f t="shared" si="20"/>
        <v>850</v>
      </c>
      <c r="B43">
        <f t="shared" si="21"/>
        <v>7228</v>
      </c>
      <c r="C43" s="8">
        <f t="shared" si="22"/>
        <v>199.27116444137064</v>
      </c>
      <c r="D43" s="11">
        <f t="shared" si="24"/>
        <v>0.0007116827301477523</v>
      </c>
      <c r="E43">
        <f aca="true" t="shared" si="29" ref="E43:E50">ROUND(1000*(M9-M8),)</f>
        <v>26</v>
      </c>
      <c r="F43" s="2">
        <f aca="true" t="shared" si="30" ref="F43:F50">E43/D43</f>
        <v>36533.133232841195</v>
      </c>
      <c r="G43" s="9">
        <f aca="true" t="shared" si="31" ref="G43:G50">F43/3600</f>
        <v>10.14809256467811</v>
      </c>
      <c r="H43" s="8">
        <f t="shared" si="23"/>
        <v>133.92018786729858</v>
      </c>
      <c r="I43" s="11">
        <f t="shared" si="25"/>
        <v>0.00047828638524035206</v>
      </c>
      <c r="J43">
        <f t="shared" si="26"/>
        <v>26</v>
      </c>
      <c r="K43" s="2">
        <f t="shared" si="27"/>
        <v>54360.73616633324</v>
      </c>
      <c r="L43" s="9">
        <f t="shared" si="28"/>
        <v>15.100204490648123</v>
      </c>
    </row>
    <row r="44" spans="1:12" ht="12.75">
      <c r="A44">
        <f t="shared" si="20"/>
        <v>800</v>
      </c>
      <c r="B44">
        <f t="shared" si="21"/>
        <v>7178</v>
      </c>
      <c r="C44" s="8">
        <f t="shared" si="22"/>
        <v>202.23175792803275</v>
      </c>
      <c r="D44" s="11">
        <f t="shared" si="24"/>
        <v>0.0007222562783144027</v>
      </c>
      <c r="E44">
        <f t="shared" si="29"/>
        <v>26</v>
      </c>
      <c r="F44" s="2">
        <f t="shared" si="30"/>
        <v>35998.30251483399</v>
      </c>
      <c r="G44" s="9">
        <f t="shared" si="31"/>
        <v>9.999528476342775</v>
      </c>
      <c r="H44" s="8">
        <f t="shared" si="23"/>
        <v>136.7382821599143</v>
      </c>
      <c r="I44" s="11">
        <f t="shared" si="25"/>
        <v>0.0004883510077139796</v>
      </c>
      <c r="J44">
        <f t="shared" si="26"/>
        <v>26</v>
      </c>
      <c r="K44" s="2">
        <f t="shared" si="27"/>
        <v>53240.39387511173</v>
      </c>
      <c r="L44" s="9">
        <f t="shared" si="28"/>
        <v>14.788998298642147</v>
      </c>
    </row>
    <row r="45" spans="1:12" ht="12.75">
      <c r="A45">
        <f t="shared" si="20"/>
        <v>750</v>
      </c>
      <c r="B45">
        <f t="shared" si="21"/>
        <v>7128</v>
      </c>
      <c r="C45" s="8">
        <f t="shared" si="22"/>
        <v>205.22850562544596</v>
      </c>
      <c r="D45" s="11">
        <f t="shared" si="24"/>
        <v>0.000732958948662307</v>
      </c>
      <c r="E45">
        <f t="shared" si="29"/>
        <v>26</v>
      </c>
      <c r="F45" s="2">
        <f t="shared" si="30"/>
        <v>35472.65511588544</v>
      </c>
      <c r="G45" s="9">
        <f t="shared" si="31"/>
        <v>9.853515309968179</v>
      </c>
      <c r="H45" s="8">
        <f t="shared" si="23"/>
        <v>139.63600286500827</v>
      </c>
      <c r="I45" s="11">
        <f t="shared" si="25"/>
        <v>0.0004987000102321723</v>
      </c>
      <c r="J45">
        <f t="shared" si="26"/>
        <v>26</v>
      </c>
      <c r="K45" s="2">
        <f t="shared" si="27"/>
        <v>52135.55136663335</v>
      </c>
      <c r="L45" s="9">
        <f t="shared" si="28"/>
        <v>14.482097601842597</v>
      </c>
    </row>
    <row r="46" spans="1:12" ht="12.75">
      <c r="A46">
        <f t="shared" si="20"/>
        <v>700</v>
      </c>
      <c r="B46">
        <f t="shared" si="21"/>
        <v>7078</v>
      </c>
      <c r="C46" s="8">
        <f t="shared" si="22"/>
        <v>208.26080096564965</v>
      </c>
      <c r="D46" s="11">
        <f t="shared" si="24"/>
        <v>0.0007437885748773202</v>
      </c>
      <c r="E46">
        <f t="shared" si="29"/>
        <v>26</v>
      </c>
      <c r="F46" s="2">
        <f t="shared" si="30"/>
        <v>34956.17017818325</v>
      </c>
      <c r="G46" s="9">
        <f t="shared" si="31"/>
        <v>9.71004727171757</v>
      </c>
      <c r="H46" s="8">
        <f t="shared" si="23"/>
        <v>142.61618231228599</v>
      </c>
      <c r="I46" s="11">
        <f t="shared" si="25"/>
        <v>0.0005093435082581642</v>
      </c>
      <c r="J46">
        <f t="shared" si="26"/>
        <v>27</v>
      </c>
      <c r="K46" s="2">
        <f t="shared" si="27"/>
        <v>53009.41223798786</v>
      </c>
      <c r="L46" s="9">
        <f t="shared" si="28"/>
        <v>14.724836732774406</v>
      </c>
    </row>
    <row r="47" spans="1:12" ht="12.75">
      <c r="A47">
        <f t="shared" si="20"/>
        <v>650</v>
      </c>
      <c r="B47">
        <f t="shared" si="21"/>
        <v>7028</v>
      </c>
      <c r="C47" s="8">
        <f t="shared" si="22"/>
        <v>211.32794344940223</v>
      </c>
      <c r="D47" s="11">
        <f t="shared" si="24"/>
        <v>0.0007547426551764365</v>
      </c>
      <c r="E47">
        <f t="shared" si="29"/>
        <v>27</v>
      </c>
      <c r="F47" s="2">
        <f t="shared" si="30"/>
        <v>35773.78304355701</v>
      </c>
      <c r="G47" s="9">
        <f t="shared" si="31"/>
        <v>9.937161956543614</v>
      </c>
      <c r="H47" s="8">
        <f t="shared" si="23"/>
        <v>145.68177459257151</v>
      </c>
      <c r="I47" s="11">
        <f t="shared" si="25"/>
        <v>0.0005202920521163268</v>
      </c>
      <c r="J47">
        <f t="shared" si="26"/>
        <v>27</v>
      </c>
      <c r="K47" s="2">
        <f t="shared" si="27"/>
        <v>51893.931283738595</v>
      </c>
      <c r="L47" s="9">
        <f t="shared" si="28"/>
        <v>14.414980912149609</v>
      </c>
    </row>
    <row r="48" spans="1:12" ht="12.75">
      <c r="A48">
        <f t="shared" si="20"/>
        <v>600</v>
      </c>
      <c r="B48">
        <f t="shared" si="21"/>
        <v>6978</v>
      </c>
      <c r="C48" s="8">
        <f t="shared" si="22"/>
        <v>214.4291328014331</v>
      </c>
      <c r="D48" s="11">
        <f t="shared" si="24"/>
        <v>0.0007658183314336896</v>
      </c>
      <c r="E48">
        <f t="shared" si="29"/>
        <v>27</v>
      </c>
      <c r="F48" s="2">
        <f t="shared" si="30"/>
        <v>35256.40336847678</v>
      </c>
      <c r="G48" s="9">
        <f t="shared" si="31"/>
        <v>9.793445380132438</v>
      </c>
      <c r="H48" s="8">
        <f t="shared" si="23"/>
        <v>148.8358617087175</v>
      </c>
      <c r="I48" s="11">
        <f t="shared" si="25"/>
        <v>0.0005315566489597053</v>
      </c>
      <c r="J48">
        <f t="shared" si="26"/>
        <v>27</v>
      </c>
      <c r="K48" s="2">
        <f t="shared" si="27"/>
        <v>50794.20989811895</v>
      </c>
      <c r="L48" s="9">
        <f t="shared" si="28"/>
        <v>14.109502749477485</v>
      </c>
    </row>
    <row r="49" spans="1:12" ht="12.75">
      <c r="A49">
        <f t="shared" si="20"/>
        <v>550</v>
      </c>
      <c r="B49">
        <f t="shared" si="21"/>
        <v>6928</v>
      </c>
      <c r="C49" s="8">
        <f t="shared" si="22"/>
        <v>217.56346295582713</v>
      </c>
      <c r="D49" s="11">
        <f t="shared" si="24"/>
        <v>0.0007770123676993827</v>
      </c>
      <c r="E49">
        <f t="shared" si="29"/>
        <v>27</v>
      </c>
      <c r="F49" s="2">
        <f t="shared" si="30"/>
        <v>34748.48164893818</v>
      </c>
      <c r="G49" s="9">
        <f t="shared" si="31"/>
        <v>9.652356013593938</v>
      </c>
      <c r="H49" s="8">
        <f t="shared" si="23"/>
        <v>152.08166008420267</v>
      </c>
      <c r="I49" s="11">
        <f t="shared" si="25"/>
        <v>0.0005431487860150095</v>
      </c>
      <c r="J49">
        <f t="shared" si="26"/>
        <v>28</v>
      </c>
      <c r="K49" s="2">
        <f t="shared" si="27"/>
        <v>51551.25210797441</v>
      </c>
      <c r="L49" s="9">
        <f t="shared" si="28"/>
        <v>14.319792252215114</v>
      </c>
    </row>
    <row r="50" spans="1:9" ht="12.75">
      <c r="A50">
        <f t="shared" si="20"/>
        <v>500</v>
      </c>
      <c r="B50">
        <f t="shared" si="21"/>
        <v>6878</v>
      </c>
      <c r="C50" s="8">
        <f t="shared" si="22"/>
        <v>220.72991588939104</v>
      </c>
      <c r="D50" s="11">
        <f t="shared" si="24"/>
        <v>0.0007883211281763965</v>
      </c>
      <c r="E50">
        <f t="shared" si="29"/>
        <v>28</v>
      </c>
      <c r="F50" s="2">
        <f t="shared" si="30"/>
        <v>35518.520307544844</v>
      </c>
      <c r="G50" s="9">
        <f t="shared" si="31"/>
        <v>9.86625564098468</v>
      </c>
      <c r="H50" s="8">
        <f t="shared" si="23"/>
        <v>155.42252745298822</v>
      </c>
      <c r="I50" s="11">
        <f t="shared" si="25"/>
        <v>0.0005550804551892436</v>
      </c>
    </row>
    <row r="51" spans="3:12" ht="12.75">
      <c r="C51" s="8"/>
      <c r="D51" s="9">
        <f>D40+E51</f>
        <v>280</v>
      </c>
      <c r="E51">
        <v>0</v>
      </c>
      <c r="F51" s="2" t="s">
        <v>57</v>
      </c>
      <c r="G51" s="9" t="s">
        <v>64</v>
      </c>
      <c r="H51" s="8"/>
      <c r="I51" s="6">
        <f>D40</f>
        <v>280</v>
      </c>
      <c r="K51" s="2"/>
      <c r="L51" s="9"/>
    </row>
    <row r="52" spans="1:12" ht="12.75">
      <c r="A52">
        <f aca="true" t="shared" si="32" ref="A52:A58">A16</f>
        <v>500</v>
      </c>
      <c r="B52">
        <f aca="true" t="shared" si="33" ref="B52:B58">K16</f>
        <v>6878</v>
      </c>
      <c r="C52" s="8">
        <f aca="true" t="shared" si="34" ref="C52:C58">E16</f>
        <v>220.72991588939104</v>
      </c>
      <c r="D52" s="11">
        <f aca="true" t="shared" si="35" ref="D52:D58">C52/D$51/1000</f>
        <v>0.0007883211281763965</v>
      </c>
      <c r="E52">
        <f aca="true" t="shared" si="36" ref="E52:E58">ROUND(1000*(M16-M15),)</f>
        <v>28</v>
      </c>
      <c r="F52" s="2">
        <f aca="true" t="shared" si="37" ref="F52:F58">E52/D52</f>
        <v>35518.520307544844</v>
      </c>
      <c r="G52" s="9">
        <f aca="true" t="shared" si="38" ref="G52:G58">F52/3600</f>
        <v>9.86625564098468</v>
      </c>
      <c r="H52" s="8">
        <f>G18</f>
        <v>162.4036508710288</v>
      </c>
      <c r="I52" s="11">
        <f aca="true" t="shared" si="39" ref="I52:I57">H52/I$51/1000</f>
        <v>0.0005800130388251028</v>
      </c>
      <c r="J52">
        <f aca="true" t="shared" si="40" ref="J52:J58">E52</f>
        <v>28</v>
      </c>
      <c r="K52" s="2">
        <f aca="true" t="shared" si="41" ref="K52:K58">J52/I52</f>
        <v>48274.77681660036</v>
      </c>
      <c r="L52" s="9">
        <f aca="true" t="shared" si="42" ref="L52:L58">K52/3600</f>
        <v>13.409660226833433</v>
      </c>
    </row>
    <row r="53" spans="1:12" ht="12.75">
      <c r="A53">
        <f t="shared" si="32"/>
        <v>450</v>
      </c>
      <c r="B53">
        <f t="shared" si="33"/>
        <v>6828</v>
      </c>
      <c r="C53" s="8">
        <f t="shared" si="34"/>
        <v>223.92735532500174</v>
      </c>
      <c r="D53" s="11">
        <f t="shared" si="35"/>
        <v>0.0007997405547321491</v>
      </c>
      <c r="E53">
        <f t="shared" si="36"/>
        <v>28</v>
      </c>
      <c r="F53" s="2">
        <f t="shared" si="37"/>
        <v>35011.35441277931</v>
      </c>
      <c r="G53" s="9">
        <f t="shared" si="38"/>
        <v>9.72537622577203</v>
      </c>
      <c r="H53" s="8">
        <f aca="true" t="shared" si="43" ref="H53:H58">G17</f>
        <v>158.8619701559431</v>
      </c>
      <c r="I53" s="11">
        <f t="shared" si="39"/>
        <v>0.0005673641791283683</v>
      </c>
      <c r="J53">
        <f t="shared" si="40"/>
        <v>28</v>
      </c>
      <c r="K53" s="2">
        <f t="shared" si="41"/>
        <v>49351.01832303885</v>
      </c>
      <c r="L53" s="9">
        <f t="shared" si="42"/>
        <v>13.708616200844125</v>
      </c>
    </row>
    <row r="54" spans="1:12" ht="12.75">
      <c r="A54">
        <f t="shared" si="32"/>
        <v>400</v>
      </c>
      <c r="B54">
        <f t="shared" si="33"/>
        <v>6778</v>
      </c>
      <c r="C54" s="8">
        <f t="shared" si="34"/>
        <v>227.1545203315561</v>
      </c>
      <c r="D54" s="11">
        <f t="shared" si="35"/>
        <v>0.0008112661440412718</v>
      </c>
      <c r="E54">
        <f t="shared" si="36"/>
        <v>28</v>
      </c>
      <c r="F54" s="2">
        <f t="shared" si="37"/>
        <v>34513.95106976823</v>
      </c>
      <c r="G54" s="9">
        <f t="shared" si="38"/>
        <v>9.587208630491174</v>
      </c>
      <c r="H54" s="8">
        <f t="shared" si="43"/>
        <v>162.4036508710288</v>
      </c>
      <c r="I54" s="11">
        <f t="shared" si="39"/>
        <v>0.0005800130388251028</v>
      </c>
      <c r="J54">
        <f t="shared" si="40"/>
        <v>28</v>
      </c>
      <c r="K54" s="2">
        <f t="shared" si="41"/>
        <v>48274.77681660036</v>
      </c>
      <c r="L54" s="9">
        <f t="shared" si="42"/>
        <v>13.409660226833433</v>
      </c>
    </row>
    <row r="55" spans="1:12" ht="12.75">
      <c r="A55">
        <f t="shared" si="32"/>
        <v>350</v>
      </c>
      <c r="B55">
        <f t="shared" si="33"/>
        <v>6728</v>
      </c>
      <c r="C55" s="8">
        <f t="shared" si="34"/>
        <v>230.4100188522548</v>
      </c>
      <c r="D55" s="11">
        <f t="shared" si="35"/>
        <v>0.0008228929244723386</v>
      </c>
      <c r="E55">
        <f t="shared" si="36"/>
        <v>28</v>
      </c>
      <c r="F55" s="2">
        <f t="shared" si="37"/>
        <v>34026.29815775165</v>
      </c>
      <c r="G55" s="9">
        <f t="shared" si="38"/>
        <v>9.451749488264346</v>
      </c>
      <c r="H55" s="8">
        <f t="shared" si="43"/>
        <v>166.05139680647085</v>
      </c>
      <c r="I55" s="11">
        <f t="shared" si="39"/>
        <v>0.000593040702880253</v>
      </c>
      <c r="J55">
        <f t="shared" si="40"/>
        <v>28</v>
      </c>
      <c r="K55" s="2">
        <f t="shared" si="41"/>
        <v>47214.29720424058</v>
      </c>
      <c r="L55" s="9">
        <f t="shared" si="42"/>
        <v>13.115082556733494</v>
      </c>
    </row>
    <row r="56" spans="1:12" ht="12.75">
      <c r="A56">
        <f t="shared" si="32"/>
        <v>300</v>
      </c>
      <c r="B56">
        <f t="shared" si="33"/>
        <v>6678</v>
      </c>
      <c r="C56" s="8">
        <f t="shared" si="34"/>
        <v>233.6923211985674</v>
      </c>
      <c r="D56" s="11">
        <f t="shared" si="35"/>
        <v>0.0008346154328520264</v>
      </c>
      <c r="E56">
        <f t="shared" si="36"/>
        <v>29</v>
      </c>
      <c r="F56" s="2">
        <f t="shared" si="37"/>
        <v>34746.54177062356</v>
      </c>
      <c r="G56" s="9">
        <f t="shared" si="38"/>
        <v>9.651817158506544</v>
      </c>
      <c r="H56" s="8">
        <f t="shared" si="43"/>
        <v>169.8092083883467</v>
      </c>
      <c r="I56" s="11">
        <f t="shared" si="39"/>
        <v>0.0006064614585298096</v>
      </c>
      <c r="J56">
        <f t="shared" si="40"/>
        <v>29</v>
      </c>
      <c r="K56" s="2">
        <f t="shared" si="41"/>
        <v>47818.37261398624</v>
      </c>
      <c r="L56" s="9">
        <f t="shared" si="42"/>
        <v>13.282881281662844</v>
      </c>
    </row>
    <row r="57" spans="1:12" ht="12.75">
      <c r="A57">
        <f t="shared" si="32"/>
        <v>250</v>
      </c>
      <c r="B57">
        <f t="shared" si="33"/>
        <v>6628</v>
      </c>
      <c r="C57" s="8">
        <f t="shared" si="34"/>
        <v>236.99975355336076</v>
      </c>
      <c r="D57" s="11">
        <f t="shared" si="35"/>
        <v>0.0008464276912620027</v>
      </c>
      <c r="E57">
        <f t="shared" si="36"/>
        <v>29</v>
      </c>
      <c r="F57" s="2">
        <f t="shared" si="37"/>
        <v>34261.63900280923</v>
      </c>
      <c r="G57" s="9">
        <f t="shared" si="38"/>
        <v>9.517121945224785</v>
      </c>
      <c r="H57" s="8">
        <f t="shared" si="43"/>
        <v>173.6812684764112</v>
      </c>
      <c r="I57" s="11">
        <f t="shared" si="39"/>
        <v>0.0006202902445586113</v>
      </c>
      <c r="J57">
        <f t="shared" si="40"/>
        <v>29</v>
      </c>
      <c r="K57" s="2">
        <f t="shared" si="41"/>
        <v>46752.30709236115</v>
      </c>
      <c r="L57" s="9">
        <f t="shared" si="42"/>
        <v>12.98675197010032</v>
      </c>
    </row>
    <row r="58" spans="1:12" ht="12.75">
      <c r="A58">
        <f t="shared" si="32"/>
        <v>200</v>
      </c>
      <c r="B58">
        <f t="shared" si="33"/>
        <v>6578</v>
      </c>
      <c r="C58" s="8">
        <f t="shared" si="34"/>
        <v>240.33049153331763</v>
      </c>
      <c r="D58" s="11">
        <f t="shared" si="35"/>
        <v>0.0008583231840475629</v>
      </c>
      <c r="E58">
        <f t="shared" si="36"/>
        <v>29</v>
      </c>
      <c r="F58" s="2">
        <f t="shared" si="37"/>
        <v>33786.8072760726</v>
      </c>
      <c r="G58" s="9">
        <f t="shared" si="38"/>
        <v>9.3852242433535</v>
      </c>
      <c r="H58" s="8">
        <f t="shared" si="43"/>
        <v>177.67195214456882</v>
      </c>
      <c r="I58" s="11">
        <f>H58/I$40/1000</f>
        <v>0.0006345426862306029</v>
      </c>
      <c r="J58">
        <f t="shared" si="40"/>
        <v>29</v>
      </c>
      <c r="K58" s="2">
        <f t="shared" si="41"/>
        <v>45702.20511447348</v>
      </c>
      <c r="L58" s="9">
        <f t="shared" si="42"/>
        <v>12.695056976242633</v>
      </c>
    </row>
    <row r="59" spans="1:9" ht="12.75">
      <c r="A59" t="s">
        <v>61</v>
      </c>
      <c r="C59" t="s">
        <v>56</v>
      </c>
      <c r="D59" t="s">
        <v>53</v>
      </c>
      <c r="E59" t="s">
        <v>54</v>
      </c>
      <c r="G59" t="s">
        <v>51</v>
      </c>
      <c r="H59" t="s">
        <v>52</v>
      </c>
      <c r="I59" s="12">
        <v>0.4</v>
      </c>
    </row>
    <row r="60" spans="1:8" ht="12.75">
      <c r="A60">
        <f aca="true" t="shared" si="44" ref="A60:B67">A42</f>
        <v>900</v>
      </c>
      <c r="B60">
        <f t="shared" si="44"/>
        <v>7278</v>
      </c>
      <c r="D60" s="9">
        <f>SUM(G43:G$50)</f>
        <v>78.9604026139613</v>
      </c>
      <c r="E60" s="9">
        <f>SUM(L42:L$50)</f>
        <v>117.35615920652117</v>
      </c>
      <c r="G60" s="9">
        <f aca="true" t="shared" si="45" ref="G60:G74">D60+E60</f>
        <v>196.3165618204825</v>
      </c>
      <c r="H60" s="9">
        <f aca="true" t="shared" si="46" ref="H60:H74">G60/24/I$59</f>
        <v>20.449641856300257</v>
      </c>
    </row>
    <row r="61" spans="1:8" ht="12.75">
      <c r="A61">
        <f t="shared" si="44"/>
        <v>850</v>
      </c>
      <c r="B61">
        <f t="shared" si="44"/>
        <v>7228</v>
      </c>
      <c r="D61" s="9">
        <f>SUM(G44:G$50)</f>
        <v>68.8123100492832</v>
      </c>
      <c r="E61" s="9">
        <f>SUM(L43:L$50)</f>
        <v>101.94041303774947</v>
      </c>
      <c r="G61" s="9">
        <f t="shared" si="45"/>
        <v>170.75272308703268</v>
      </c>
      <c r="H61" s="9">
        <f t="shared" si="46"/>
        <v>17.78674198823257</v>
      </c>
    </row>
    <row r="62" spans="1:8" ht="12.75">
      <c r="A62">
        <f t="shared" si="44"/>
        <v>800</v>
      </c>
      <c r="B62">
        <f t="shared" si="44"/>
        <v>7178</v>
      </c>
      <c r="D62" s="9">
        <f>SUM(G45:G$50)</f>
        <v>58.81278157294042</v>
      </c>
      <c r="E62" s="9">
        <f>SUM(L44:L$50)</f>
        <v>86.84020854710135</v>
      </c>
      <c r="G62" s="9">
        <f t="shared" si="45"/>
        <v>145.65299012004178</v>
      </c>
      <c r="H62" s="9">
        <f t="shared" si="46"/>
        <v>15.172186470837685</v>
      </c>
    </row>
    <row r="63" spans="1:8" ht="12.75">
      <c r="A63">
        <f t="shared" si="44"/>
        <v>750</v>
      </c>
      <c r="B63">
        <f t="shared" si="44"/>
        <v>7128</v>
      </c>
      <c r="D63" s="9">
        <f>SUM(G46:G$50)</f>
        <v>48.959266262972235</v>
      </c>
      <c r="E63" s="9">
        <f>SUM(L45:L$50)</f>
        <v>72.05121024845921</v>
      </c>
      <c r="G63" s="9">
        <f t="shared" si="45"/>
        <v>121.01047651143145</v>
      </c>
      <c r="H63" s="9">
        <f t="shared" si="46"/>
        <v>12.605257969940775</v>
      </c>
    </row>
    <row r="64" spans="1:8" ht="12.75">
      <c r="A64">
        <f t="shared" si="44"/>
        <v>700</v>
      </c>
      <c r="B64">
        <f t="shared" si="44"/>
        <v>7078</v>
      </c>
      <c r="D64" s="9">
        <f>SUM(G47:G$50)</f>
        <v>39.249218991254665</v>
      </c>
      <c r="E64" s="9">
        <f>SUM(L46:L$50)</f>
        <v>57.56911264661662</v>
      </c>
      <c r="G64" s="9">
        <f t="shared" si="45"/>
        <v>96.81833163787128</v>
      </c>
      <c r="H64" s="9">
        <f t="shared" si="46"/>
        <v>10.085242878944923</v>
      </c>
    </row>
    <row r="65" spans="1:8" ht="12.75">
      <c r="A65">
        <f t="shared" si="44"/>
        <v>650</v>
      </c>
      <c r="B65">
        <f t="shared" si="44"/>
        <v>7028</v>
      </c>
      <c r="D65" s="9">
        <f>SUM(G48:G$50)</f>
        <v>29.312057034711057</v>
      </c>
      <c r="E65" s="9">
        <f>SUM(L47:L$50)</f>
        <v>42.84427591384221</v>
      </c>
      <c r="G65" s="9">
        <f t="shared" si="45"/>
        <v>72.15633294855327</v>
      </c>
      <c r="H65" s="9">
        <f t="shared" si="46"/>
        <v>7.516284682140966</v>
      </c>
    </row>
    <row r="66" spans="1:8" ht="12.75">
      <c r="A66">
        <f t="shared" si="44"/>
        <v>600</v>
      </c>
      <c r="B66">
        <f t="shared" si="44"/>
        <v>6978</v>
      </c>
      <c r="D66" s="9">
        <f>SUM(G49:G$50)</f>
        <v>19.518611654578617</v>
      </c>
      <c r="E66" s="9">
        <f>SUM(L48:L$50)</f>
        <v>28.4292950016926</v>
      </c>
      <c r="G66" s="9">
        <f t="shared" si="45"/>
        <v>47.947906656271215</v>
      </c>
      <c r="H66" s="9">
        <f t="shared" si="46"/>
        <v>4.994573610028252</v>
      </c>
    </row>
    <row r="67" spans="1:8" ht="12.75">
      <c r="A67">
        <f t="shared" si="44"/>
        <v>550</v>
      </c>
      <c r="B67">
        <f t="shared" si="44"/>
        <v>6928</v>
      </c>
      <c r="D67" s="9">
        <f>SUM(G$50:G50)</f>
        <v>9.86625564098468</v>
      </c>
      <c r="E67" s="9">
        <f>SUM(L49:L$50)</f>
        <v>14.319792252215114</v>
      </c>
      <c r="G67" s="9">
        <f t="shared" si="45"/>
        <v>24.18604789319979</v>
      </c>
      <c r="H67" s="9">
        <f t="shared" si="46"/>
        <v>2.519379988874978</v>
      </c>
    </row>
    <row r="68" spans="1:8" ht="12.75">
      <c r="A68">
        <f aca="true" t="shared" si="47" ref="A68:B74">A52</f>
        <v>500</v>
      </c>
      <c r="B68">
        <f t="shared" si="47"/>
        <v>6878</v>
      </c>
      <c r="D68" s="9">
        <f>SUM(G$52:G52)</f>
        <v>9.86625564098468</v>
      </c>
      <c r="G68" s="9">
        <f t="shared" si="45"/>
        <v>9.86625564098468</v>
      </c>
      <c r="H68" s="9">
        <f t="shared" si="46"/>
        <v>1.0277349626025707</v>
      </c>
    </row>
    <row r="69" spans="1:8" ht="12.75">
      <c r="A69">
        <f t="shared" si="47"/>
        <v>450</v>
      </c>
      <c r="B69">
        <f t="shared" si="47"/>
        <v>6828</v>
      </c>
      <c r="D69" s="9">
        <f>SUM(G$52:G53)</f>
        <v>19.591631866756707</v>
      </c>
      <c r="G69" s="9">
        <f t="shared" si="45"/>
        <v>19.591631866756707</v>
      </c>
      <c r="H69" s="9">
        <f t="shared" si="46"/>
        <v>2.04079498612049</v>
      </c>
    </row>
    <row r="70" spans="1:8" ht="12.75">
      <c r="A70">
        <f t="shared" si="47"/>
        <v>400</v>
      </c>
      <c r="B70">
        <f t="shared" si="47"/>
        <v>6778</v>
      </c>
      <c r="D70" s="9">
        <f>SUM(G$52:G54)</f>
        <v>29.178840497247883</v>
      </c>
      <c r="G70" s="9">
        <f t="shared" si="45"/>
        <v>29.178840497247883</v>
      </c>
      <c r="H70" s="9">
        <f t="shared" si="46"/>
        <v>3.0394625517966545</v>
      </c>
    </row>
    <row r="71" spans="1:8" ht="12.75">
      <c r="A71">
        <f t="shared" si="47"/>
        <v>350</v>
      </c>
      <c r="B71">
        <f t="shared" si="47"/>
        <v>6728</v>
      </c>
      <c r="D71" s="9">
        <f>SUM(G$52:G55)</f>
        <v>38.63058998551223</v>
      </c>
      <c r="G71" s="9">
        <f t="shared" si="45"/>
        <v>38.63058998551223</v>
      </c>
      <c r="H71" s="9">
        <f t="shared" si="46"/>
        <v>4.024019790157524</v>
      </c>
    </row>
    <row r="72" spans="1:8" ht="12.75">
      <c r="A72">
        <f t="shared" si="47"/>
        <v>300</v>
      </c>
      <c r="B72">
        <f t="shared" si="47"/>
        <v>6678</v>
      </c>
      <c r="D72" s="9">
        <f>SUM(G$52:G56)</f>
        <v>48.28240714401878</v>
      </c>
      <c r="G72" s="9">
        <f t="shared" si="45"/>
        <v>48.28240714401878</v>
      </c>
      <c r="H72" s="9">
        <f t="shared" si="46"/>
        <v>5.029417410835289</v>
      </c>
    </row>
    <row r="73" spans="1:8" ht="12.75">
      <c r="A73">
        <f t="shared" si="47"/>
        <v>250</v>
      </c>
      <c r="B73">
        <f t="shared" si="47"/>
        <v>6628</v>
      </c>
      <c r="D73" s="9">
        <f>SUM(G$52:G57)</f>
        <v>57.79952908924356</v>
      </c>
      <c r="G73" s="9">
        <f t="shared" si="45"/>
        <v>57.79952908924356</v>
      </c>
      <c r="H73" s="9">
        <f t="shared" si="46"/>
        <v>6.020784280129537</v>
      </c>
    </row>
    <row r="74" spans="1:8" ht="12.75">
      <c r="A74">
        <f t="shared" si="47"/>
        <v>200</v>
      </c>
      <c r="B74">
        <f t="shared" si="47"/>
        <v>6578</v>
      </c>
      <c r="D74" s="9">
        <f>SUM(G$52:G58)</f>
        <v>67.18475333259707</v>
      </c>
      <c r="G74" s="9">
        <f t="shared" si="45"/>
        <v>67.18475333259707</v>
      </c>
      <c r="H74" s="9">
        <f t="shared" si="46"/>
        <v>6.998411805478861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4"/>
  <sheetViews>
    <sheetView tabSelected="1" workbookViewId="0" topLeftCell="A1">
      <selection activeCell="C4" sqref="C4"/>
    </sheetView>
  </sheetViews>
  <sheetFormatPr defaultColWidth="9.140625" defaultRowHeight="12.75"/>
  <cols>
    <col min="4" max="4" width="12.421875" style="0" bestFit="1" customWidth="1"/>
    <col min="6" max="6" width="10.140625" style="0" bestFit="1" customWidth="1"/>
    <col min="7" max="10" width="9.57421875" style="0" customWidth="1"/>
  </cols>
  <sheetData>
    <row r="1" spans="1:15" ht="12.75">
      <c r="A1" t="s">
        <v>60</v>
      </c>
      <c r="C1">
        <v>3500000</v>
      </c>
      <c r="D1" t="s">
        <v>0</v>
      </c>
      <c r="F1" s="14">
        <v>37976</v>
      </c>
      <c r="G1">
        <v>0</v>
      </c>
      <c r="H1" t="str">
        <f>P2</f>
        <v>Inclination</v>
      </c>
      <c r="I1" t="s">
        <v>104</v>
      </c>
      <c r="L1">
        <v>215</v>
      </c>
      <c r="M1">
        <v>0.00017</v>
      </c>
      <c r="N1" t="s">
        <v>110</v>
      </c>
      <c r="O1">
        <v>0.029</v>
      </c>
    </row>
    <row r="2" spans="1:16" ht="12.75">
      <c r="A2" t="s">
        <v>1</v>
      </c>
      <c r="C2">
        <v>120</v>
      </c>
      <c r="D2" t="s">
        <v>2</v>
      </c>
      <c r="E2">
        <v>120</v>
      </c>
      <c r="F2">
        <v>284</v>
      </c>
      <c r="I2" t="s">
        <v>103</v>
      </c>
      <c r="J2" s="1"/>
      <c r="M2">
        <v>983.008</v>
      </c>
      <c r="N2" t="s">
        <v>111</v>
      </c>
      <c r="O2">
        <f>G1</f>
        <v>0</v>
      </c>
      <c r="P2" t="s">
        <v>67</v>
      </c>
    </row>
    <row r="3" spans="1:16" ht="12.75">
      <c r="A3" t="s">
        <v>55</v>
      </c>
      <c r="C3" t="s">
        <v>120</v>
      </c>
      <c r="D3" s="1" t="s">
        <v>116</v>
      </c>
      <c r="E3" s="1"/>
      <c r="F3" t="s">
        <v>117</v>
      </c>
      <c r="H3" s="9" t="s">
        <v>118</v>
      </c>
      <c r="M3">
        <v>398580</v>
      </c>
      <c r="N3" t="s">
        <v>112</v>
      </c>
      <c r="O3">
        <f>O2/180*PI()</f>
        <v>0</v>
      </c>
      <c r="P3" t="s">
        <v>68</v>
      </c>
    </row>
    <row r="4" spans="1:16" ht="12.75">
      <c r="A4" t="s">
        <v>115</v>
      </c>
      <c r="B4">
        <v>8</v>
      </c>
      <c r="C4">
        <v>3</v>
      </c>
      <c r="D4" s="9">
        <f>VLOOKUP($B$4,AWGamp!$A$12:$F$23,4)*$C$2/C4</f>
        <v>135.2</v>
      </c>
      <c r="F4" s="9">
        <f>VLOOKUP($B$4,AWGamp!$A$12:$F$23,6)*C4</f>
        <v>126</v>
      </c>
      <c r="H4" s="9">
        <f>VLOOKUP($B$4,AWGamp!$A$12:$F$23,3)*C$2*C4</f>
        <v>8136</v>
      </c>
      <c r="M4" s="8">
        <f>SQRT(M3)</f>
        <v>631.3319253768179</v>
      </c>
      <c r="N4" t="s">
        <v>113</v>
      </c>
      <c r="O4">
        <f>COS(O3)</f>
        <v>1</v>
      </c>
      <c r="P4" t="s">
        <v>69</v>
      </c>
    </row>
    <row r="5" spans="3:18" ht="12.75">
      <c r="C5" s="1" t="s">
        <v>5</v>
      </c>
      <c r="E5" s="1"/>
      <c r="F5" t="s">
        <v>58</v>
      </c>
      <c r="L5">
        <f>215*O4</f>
        <v>215</v>
      </c>
      <c r="O5">
        <f>0.029*O4</f>
        <v>0.029</v>
      </c>
      <c r="R5" t="s">
        <v>6</v>
      </c>
    </row>
    <row r="6" spans="1:21" ht="12.75">
      <c r="A6" t="s">
        <v>7</v>
      </c>
      <c r="C6" t="s">
        <v>10</v>
      </c>
      <c r="D6" t="s">
        <v>9</v>
      </c>
      <c r="F6" t="s">
        <v>9</v>
      </c>
      <c r="H6" t="s">
        <v>63</v>
      </c>
      <c r="I6" t="s">
        <v>63</v>
      </c>
      <c r="K6">
        <v>6378.39</v>
      </c>
      <c r="L6" t="s">
        <v>8</v>
      </c>
      <c r="O6" t="s">
        <v>11</v>
      </c>
      <c r="S6" t="s">
        <v>12</v>
      </c>
      <c r="T6" t="s">
        <v>13</v>
      </c>
      <c r="U6" t="s">
        <v>14</v>
      </c>
    </row>
    <row r="7" spans="1:21" ht="12.75">
      <c r="A7" t="s">
        <v>15</v>
      </c>
      <c r="B7" t="s">
        <v>63</v>
      </c>
      <c r="C7" s="4"/>
      <c r="D7" s="3" t="s">
        <v>19</v>
      </c>
      <c r="E7" t="s">
        <v>20</v>
      </c>
      <c r="F7" t="s">
        <v>29</v>
      </c>
      <c r="G7" t="s">
        <v>20</v>
      </c>
      <c r="H7" t="s">
        <v>9</v>
      </c>
      <c r="I7" t="s">
        <v>62</v>
      </c>
      <c r="J7" t="s">
        <v>21</v>
      </c>
      <c r="K7" t="s">
        <v>16</v>
      </c>
      <c r="L7" t="s">
        <v>17</v>
      </c>
      <c r="M7" t="s">
        <v>114</v>
      </c>
      <c r="N7" t="s">
        <v>18</v>
      </c>
      <c r="O7" s="5" t="s">
        <v>22</v>
      </c>
      <c r="P7" s="4" t="s">
        <v>23</v>
      </c>
      <c r="R7" s="4"/>
      <c r="S7" s="4" t="s">
        <v>24</v>
      </c>
      <c r="T7" s="4" t="s">
        <v>24</v>
      </c>
      <c r="U7" s="4" t="s">
        <v>24</v>
      </c>
    </row>
    <row r="8" spans="1:22" ht="12.75">
      <c r="A8">
        <f aca="true" t="shared" si="0" ref="A8:A21">50+A9</f>
        <v>900</v>
      </c>
      <c r="B8" s="2">
        <f aca="true" t="shared" si="1" ref="B8:B22">L8*$C$2</f>
        <v>16257.968295077293</v>
      </c>
      <c r="C8" s="2">
        <f aca="true" t="shared" si="2" ref="C8:C22">(B8+P8)/2</f>
        <v>31351.3953761543</v>
      </c>
      <c r="D8" s="6">
        <f aca="true" t="shared" si="3" ref="D8:D22">(C8-B8)/D$4</f>
        <v>111.63777426832108</v>
      </c>
      <c r="E8" s="6">
        <f aca="true" t="shared" si="4" ref="E8:E22">$C$2*D8*$N8</f>
        <v>261.50949987532755</v>
      </c>
      <c r="F8" s="6">
        <f>MIN(B8/D$4+G$29,F$4)</f>
        <v>126</v>
      </c>
      <c r="G8" s="6">
        <f aca="true" t="shared" si="5" ref="G8:G22">$C$2*F8*$N8</f>
        <v>295.1527581076237</v>
      </c>
      <c r="H8" s="6">
        <f aca="true" t="shared" si="6" ref="H8:H22">B8/D$4</f>
        <v>120.25124478607466</v>
      </c>
      <c r="I8" s="2">
        <f aca="true" t="shared" si="7" ref="I8:I22">B8*B8/D$4</f>
        <v>1955040.9251755807</v>
      </c>
      <c r="J8" s="9">
        <f aca="true" t="shared" si="8" ref="J8:J22">F8/D8</f>
        <v>1.1286502335415551</v>
      </c>
      <c r="K8">
        <f aca="true" t="shared" si="9" ref="K8:K22">ROUND(A8+K$6,0)</f>
        <v>7278</v>
      </c>
      <c r="L8" s="6">
        <f aca="true" t="shared" si="10" ref="L8:L22">L$5*(EXP(LN(K$6/K8)*3.5))</f>
        <v>135.4830691256441</v>
      </c>
      <c r="M8" s="8">
        <f>M$4/SQRT(K8)</f>
        <v>7.400340893643141</v>
      </c>
      <c r="N8" s="7">
        <f aca="true" t="shared" si="11" ref="N8:N22">O$5*EXP(LN(K$6/K8)*3)</f>
        <v>0.019520685060028024</v>
      </c>
      <c r="P8" s="6">
        <f>SQRT(B8*B8+P$23)</f>
        <v>46444.82245723131</v>
      </c>
      <c r="R8" s="8">
        <f aca="true" t="shared" si="12" ref="R8:R22">$C$2*21*$N8</f>
        <v>49.192126351270616</v>
      </c>
      <c r="S8" s="10">
        <f>N8/N$18</f>
        <v>0.8077343267828553</v>
      </c>
      <c r="T8" s="10">
        <f>E8/E$18</f>
        <v>0.8902009333662187</v>
      </c>
      <c r="U8" s="10">
        <f>F8/F$18</f>
        <v>1</v>
      </c>
      <c r="V8">
        <f aca="true" t="shared" si="13" ref="V8:V22">A8</f>
        <v>900</v>
      </c>
    </row>
    <row r="9" spans="1:22" ht="12.75">
      <c r="A9">
        <f t="shared" si="0"/>
        <v>850</v>
      </c>
      <c r="B9" s="2">
        <f t="shared" si="1"/>
        <v>16655.011927893498</v>
      </c>
      <c r="C9" s="2">
        <f t="shared" si="2"/>
        <v>31620.151918830634</v>
      </c>
      <c r="D9" s="6">
        <f t="shared" si="3"/>
        <v>110.68890525841077</v>
      </c>
      <c r="E9" s="6">
        <f t="shared" si="4"/>
        <v>264.7049819112854</v>
      </c>
      <c r="F9" s="6">
        <f>MIN(B9/D$4+G$29,F$4)</f>
        <v>126</v>
      </c>
      <c r="G9" s="6">
        <f t="shared" si="5"/>
        <v>301.32042270142176</v>
      </c>
      <c r="H9" s="6">
        <f t="shared" si="6"/>
        <v>123.18795804654955</v>
      </c>
      <c r="I9" s="2">
        <f t="shared" si="7"/>
        <v>2051696.9106381265</v>
      </c>
      <c r="J9" s="9">
        <f t="shared" si="8"/>
        <v>1.138325469077903</v>
      </c>
      <c r="K9">
        <f t="shared" si="9"/>
        <v>7228</v>
      </c>
      <c r="L9" s="6">
        <f t="shared" si="10"/>
        <v>138.79176606577914</v>
      </c>
      <c r="M9" s="8">
        <f>M$4/SQRT(K9)</f>
        <v>7.42589286834158</v>
      </c>
      <c r="N9" s="7">
        <f t="shared" si="11"/>
        <v>0.019928599385014668</v>
      </c>
      <c r="P9" s="6">
        <f>SQRT(B9*B9+P$23)</f>
        <v>46585.29190976777</v>
      </c>
      <c r="R9" s="8">
        <f t="shared" si="12"/>
        <v>50.22007045023696</v>
      </c>
      <c r="S9" s="10">
        <f>N9/N$18</f>
        <v>0.8246131607820191</v>
      </c>
      <c r="T9" s="10">
        <f>E9/E$18</f>
        <v>0.9010786303230055</v>
      </c>
      <c r="U9" s="10">
        <f>F9/F$18</f>
        <v>1</v>
      </c>
      <c r="V9">
        <f t="shared" si="13"/>
        <v>850</v>
      </c>
    </row>
    <row r="10" spans="1:22" ht="12.75">
      <c r="A10">
        <f t="shared" si="0"/>
        <v>800</v>
      </c>
      <c r="B10" s="2">
        <f t="shared" si="1"/>
        <v>17064.609821386417</v>
      </c>
      <c r="C10" s="2">
        <f t="shared" si="2"/>
        <v>31898.952661045405</v>
      </c>
      <c r="D10" s="6">
        <f t="shared" si="3"/>
        <v>109.72147070753691</v>
      </c>
      <c r="E10" s="6">
        <f t="shared" si="4"/>
        <v>267.9129539394277</v>
      </c>
      <c r="F10" s="6">
        <f>MIN(B10/D$4+G$29,F$4)</f>
        <v>126</v>
      </c>
      <c r="G10" s="6">
        <f t="shared" si="5"/>
        <v>307.66113485980713</v>
      </c>
      <c r="H10" s="6">
        <f t="shared" si="6"/>
        <v>126.21752826469245</v>
      </c>
      <c r="I10" s="2">
        <f t="shared" si="7"/>
        <v>2153852.8724567886</v>
      </c>
      <c r="J10" s="9">
        <f t="shared" si="8"/>
        <v>1.1483622957976345</v>
      </c>
      <c r="K10">
        <f t="shared" si="9"/>
        <v>7178</v>
      </c>
      <c r="L10" s="6">
        <f t="shared" si="10"/>
        <v>142.20508184488682</v>
      </c>
      <c r="M10" s="8">
        <f>M$4/SQRT(K10)</f>
        <v>7.451711362434347</v>
      </c>
      <c r="N10" s="7">
        <f t="shared" si="11"/>
        <v>0.02034795865474915</v>
      </c>
      <c r="P10" s="6">
        <f>SQRT(B10*B10+P$23)</f>
        <v>46733.29550070439</v>
      </c>
      <c r="R10" s="8">
        <f t="shared" si="12"/>
        <v>51.276855809967856</v>
      </c>
      <c r="S10" s="10">
        <f>N10/N$18</f>
        <v>0.8419655680555088</v>
      </c>
      <c r="T10" s="10">
        <f>E10/E$18</f>
        <v>0.9119988442923889</v>
      </c>
      <c r="U10" s="10">
        <f>F10/F$18</f>
        <v>1</v>
      </c>
      <c r="V10">
        <f t="shared" si="13"/>
        <v>800</v>
      </c>
    </row>
    <row r="11" spans="1:22" ht="12.75">
      <c r="A11">
        <f t="shared" si="0"/>
        <v>750</v>
      </c>
      <c r="B11" s="2">
        <f t="shared" si="1"/>
        <v>17487.25057396175</v>
      </c>
      <c r="C11" s="2">
        <f t="shared" si="2"/>
        <v>32188.26184119368</v>
      </c>
      <c r="D11" s="6">
        <f t="shared" si="3"/>
        <v>108.73529043810598</v>
      </c>
      <c r="E11" s="6">
        <f t="shared" si="4"/>
        <v>271.13145227040843</v>
      </c>
      <c r="F11" s="6">
        <f>MIN(B11/D$4+G$29,F$4)</f>
        <v>126</v>
      </c>
      <c r="G11" s="6">
        <f t="shared" si="5"/>
        <v>314.1810064462686</v>
      </c>
      <c r="H11" s="6">
        <f t="shared" si="6"/>
        <v>129.34356933403663</v>
      </c>
      <c r="I11" s="2">
        <f t="shared" si="7"/>
        <v>2261863.407074894</v>
      </c>
      <c r="J11" s="9">
        <f t="shared" si="8"/>
        <v>1.1587774262829729</v>
      </c>
      <c r="K11">
        <f t="shared" si="9"/>
        <v>7128</v>
      </c>
      <c r="L11" s="6">
        <f t="shared" si="10"/>
        <v>145.72708811634794</v>
      </c>
      <c r="M11" s="8">
        <f>M$4/SQRT(K11)</f>
        <v>7.477801041583576</v>
      </c>
      <c r="N11" s="7">
        <f t="shared" si="11"/>
        <v>0.020779167093007183</v>
      </c>
      <c r="P11" s="6">
        <f>SQRT(B11*B11+P$23)</f>
        <v>46889.27310842561</v>
      </c>
      <c r="R11" s="8">
        <f t="shared" si="12"/>
        <v>52.3635010743781</v>
      </c>
      <c r="S11" s="10">
        <f>N11/N$18</f>
        <v>0.8598082747283728</v>
      </c>
      <c r="T11" s="10">
        <f>E11/E$18</f>
        <v>0.9229548907061618</v>
      </c>
      <c r="U11" s="10">
        <f>F11/F$18</f>
        <v>1</v>
      </c>
      <c r="V11">
        <f t="shared" si="13"/>
        <v>750</v>
      </c>
    </row>
    <row r="12" spans="1:22" ht="12.75">
      <c r="A12">
        <f t="shared" si="0"/>
        <v>700</v>
      </c>
      <c r="B12" s="2">
        <f t="shared" si="1"/>
        <v>17923.44541707544</v>
      </c>
      <c r="C12" s="2">
        <f t="shared" si="2"/>
        <v>32488.568521453664</v>
      </c>
      <c r="D12" s="6">
        <f t="shared" si="3"/>
        <v>107.73020047617031</v>
      </c>
      <c r="E12" s="6">
        <f t="shared" si="4"/>
        <v>274.35839127943973</v>
      </c>
      <c r="F12" s="6">
        <f>MIN(B12/D$4+G$29,F$4)</f>
        <v>126</v>
      </c>
      <c r="G12" s="6">
        <f t="shared" si="5"/>
        <v>320.8864102026435</v>
      </c>
      <c r="H12" s="6">
        <f t="shared" si="6"/>
        <v>132.56986255233315</v>
      </c>
      <c r="I12" s="2">
        <f t="shared" si="7"/>
        <v>2376108.6954059363</v>
      </c>
      <c r="J12" s="9">
        <f t="shared" si="8"/>
        <v>1.1695884667723322</v>
      </c>
      <c r="K12">
        <f t="shared" si="9"/>
        <v>7078</v>
      </c>
      <c r="L12" s="6">
        <f t="shared" si="10"/>
        <v>149.36204514229533</v>
      </c>
      <c r="M12" s="8">
        <f>M$4/SQRT(K12)</f>
        <v>7.504166686605251</v>
      </c>
      <c r="N12" s="7">
        <f t="shared" si="11"/>
        <v>0.02122264617742351</v>
      </c>
      <c r="P12" s="6">
        <f>SQRT(B12*B12+P$23)</f>
        <v>47053.69162583189</v>
      </c>
      <c r="R12" s="8">
        <f t="shared" si="12"/>
        <v>53.48106836710725</v>
      </c>
      <c r="S12" s="10">
        <f>N12/N$18</f>
        <v>0.8781587208623972</v>
      </c>
      <c r="T12" s="10">
        <f>E12/E$18</f>
        <v>0.9339396699173378</v>
      </c>
      <c r="U12" s="10">
        <f>F12/F$18</f>
        <v>1</v>
      </c>
      <c r="V12">
        <f t="shared" si="13"/>
        <v>700</v>
      </c>
    </row>
    <row r="13" spans="1:22" ht="12.75">
      <c r="A13">
        <f t="shared" si="0"/>
        <v>650</v>
      </c>
      <c r="B13" s="2">
        <f t="shared" si="1"/>
        <v>18373.72943361569</v>
      </c>
      <c r="C13" s="2">
        <f t="shared" si="2"/>
        <v>32800.388031318296</v>
      </c>
      <c r="D13" s="6">
        <f t="shared" si="3"/>
        <v>106.70605471673528</v>
      </c>
      <c r="E13" s="6">
        <f t="shared" si="4"/>
        <v>277.5915609090363</v>
      </c>
      <c r="F13" s="6">
        <f>MIN(B13/D$4+G$29,F$4)</f>
        <v>126</v>
      </c>
      <c r="G13" s="6">
        <f t="shared" si="5"/>
        <v>327.78399283328594</v>
      </c>
      <c r="H13" s="6">
        <f t="shared" si="6"/>
        <v>135.90036563325214</v>
      </c>
      <c r="I13" s="2">
        <f t="shared" si="7"/>
        <v>2496996.5480748187</v>
      </c>
      <c r="J13" s="9">
        <f t="shared" si="8"/>
        <v>1.180813969127459</v>
      </c>
      <c r="K13">
        <f t="shared" si="9"/>
        <v>7028</v>
      </c>
      <c r="L13" s="6">
        <f t="shared" si="10"/>
        <v>153.1144119467974</v>
      </c>
      <c r="M13" s="8">
        <f>M$4/SQRT(K13)</f>
        <v>7.5308131971493335</v>
      </c>
      <c r="N13" s="7">
        <f t="shared" si="11"/>
        <v>0.021678835504846953</v>
      </c>
      <c r="P13" s="6">
        <f>SQRT(B13*B13+P$23)</f>
        <v>47227.04662902091</v>
      </c>
      <c r="R13" s="8">
        <f t="shared" si="12"/>
        <v>54.63066547221432</v>
      </c>
      <c r="S13" s="10">
        <f>N13/N$18</f>
        <v>0.8970350962630959</v>
      </c>
      <c r="T13" s="10">
        <f>E13/E$18</f>
        <v>0.944945658699276</v>
      </c>
      <c r="U13" s="10">
        <f>F13/F$18</f>
        <v>1</v>
      </c>
      <c r="V13">
        <f t="shared" si="13"/>
        <v>650</v>
      </c>
    </row>
    <row r="14" spans="1:22" ht="12.75">
      <c r="A14">
        <f t="shared" si="0"/>
        <v>600</v>
      </c>
      <c r="B14" s="2">
        <f t="shared" si="1"/>
        <v>18838.662851154455</v>
      </c>
      <c r="C14" s="2">
        <f t="shared" si="2"/>
        <v>33124.26349687553</v>
      </c>
      <c r="D14" s="6">
        <f t="shared" si="3"/>
        <v>105.66272666953459</v>
      </c>
      <c r="E14" s="6">
        <f t="shared" si="4"/>
        <v>280.82862454201546</v>
      </c>
      <c r="F14" s="6">
        <f>MIN(B14/D$4+G$29,F$4)</f>
        <v>126</v>
      </c>
      <c r="G14" s="6">
        <f t="shared" si="5"/>
        <v>334.8806888446143</v>
      </c>
      <c r="H14" s="6">
        <f t="shared" si="6"/>
        <v>139.3392222718525</v>
      </c>
      <c r="I14" s="2">
        <f t="shared" si="7"/>
        <v>2624964.630321501</v>
      </c>
      <c r="J14" s="9">
        <f t="shared" si="8"/>
        <v>1.1924734858875186</v>
      </c>
      <c r="K14">
        <f t="shared" si="9"/>
        <v>6978</v>
      </c>
      <c r="L14" s="6">
        <f t="shared" si="10"/>
        <v>156.9888570929538</v>
      </c>
      <c r="M14" s="8">
        <f>M$4/SQRT(K14)</f>
        <v>7.55774559552466</v>
      </c>
      <c r="N14" s="7">
        <f t="shared" si="11"/>
        <v>0.022148193706654388</v>
      </c>
      <c r="P14" s="6">
        <f>SQRT(B14*B14+P$23)</f>
        <v>47409.8641425966</v>
      </c>
      <c r="R14" s="8">
        <f t="shared" si="12"/>
        <v>55.813448140769054</v>
      </c>
      <c r="S14" s="10">
        <f>N14/N$18</f>
        <v>0.9164563783539199</v>
      </c>
      <c r="T14" s="10">
        <f>E14/E$18</f>
        <v>0.9559649030051912</v>
      </c>
      <c r="U14" s="10">
        <f>F14/F$18</f>
        <v>1</v>
      </c>
      <c r="V14">
        <f t="shared" si="13"/>
        <v>600</v>
      </c>
    </row>
    <row r="15" spans="1:22" ht="12.75">
      <c r="A15">
        <f t="shared" si="0"/>
        <v>550</v>
      </c>
      <c r="B15" s="2">
        <f t="shared" si="1"/>
        <v>19318.832415247944</v>
      </c>
      <c r="C15" s="16">
        <f t="shared" si="2"/>
        <v>33460.7674606959</v>
      </c>
      <c r="D15" s="13">
        <f t="shared" si="3"/>
        <v>104.60011128289908</v>
      </c>
      <c r="E15" s="13">
        <f t="shared" si="4"/>
        <v>284.0671173017077</v>
      </c>
      <c r="F15" s="13">
        <f>MIN(B15/D$4+G$29,F$4)</f>
        <v>126</v>
      </c>
      <c r="G15" s="13">
        <f t="shared" si="5"/>
        <v>342.183735189456</v>
      </c>
      <c r="H15" s="13">
        <f t="shared" si="6"/>
        <v>142.89077230212976</v>
      </c>
      <c r="I15" s="2">
        <f t="shared" si="7"/>
        <v>2760482.883790198</v>
      </c>
      <c r="J15" s="9">
        <f t="shared" si="8"/>
        <v>1.2045876285850525</v>
      </c>
      <c r="K15">
        <f t="shared" si="9"/>
        <v>6928</v>
      </c>
      <c r="L15" s="6">
        <f t="shared" si="10"/>
        <v>160.9902701270662</v>
      </c>
      <c r="M15" s="8">
        <f>M$4/SQRT(K15)</f>
        <v>7.584969030675396</v>
      </c>
      <c r="N15" s="7">
        <f t="shared" si="11"/>
        <v>0.022631199417292063</v>
      </c>
      <c r="P15" s="6">
        <f>SQRT(B15*B15+P$23)</f>
        <v>47602.702506143854</v>
      </c>
      <c r="R15" s="8">
        <f t="shared" si="12"/>
        <v>57.030622531576</v>
      </c>
      <c r="S15" s="10">
        <f>N15/N$18</f>
        <v>0.9364423722529289</v>
      </c>
      <c r="T15" s="10">
        <f>E15/E$18</f>
        <v>0.9669890121819216</v>
      </c>
      <c r="U15" s="10">
        <f>F15/F$18</f>
        <v>1</v>
      </c>
      <c r="V15">
        <f t="shared" si="13"/>
        <v>550</v>
      </c>
    </row>
    <row r="16" spans="1:22" ht="12.75">
      <c r="A16">
        <f t="shared" si="0"/>
        <v>500</v>
      </c>
      <c r="B16" s="2">
        <f t="shared" si="1"/>
        <v>19814.852848364284</v>
      </c>
      <c r="C16" s="2">
        <f t="shared" si="2"/>
        <v>33810.503597437106</v>
      </c>
      <c r="D16" s="6">
        <f t="shared" si="3"/>
        <v>103.5181268422546</v>
      </c>
      <c r="E16" s="6">
        <f t="shared" si="4"/>
        <v>287.30444483968273</v>
      </c>
      <c r="F16" s="6">
        <f>MIN(B16/D$4+G$29,F$4)</f>
        <v>126</v>
      </c>
      <c r="G16" s="6">
        <f t="shared" si="5"/>
        <v>349.7006867692235</v>
      </c>
      <c r="H16" s="6">
        <f t="shared" si="6"/>
        <v>146.55956248790153</v>
      </c>
      <c r="I16" s="2">
        <f t="shared" si="7"/>
        <v>2904056.1642184188</v>
      </c>
      <c r="J16" s="9">
        <f t="shared" si="8"/>
        <v>1.217178129507736</v>
      </c>
      <c r="K16">
        <f t="shared" si="9"/>
        <v>6878</v>
      </c>
      <c r="L16" s="6">
        <f t="shared" si="10"/>
        <v>165.12377373636903</v>
      </c>
      <c r="M16" s="8">
        <f>M$4/SQRT(K16)</f>
        <v>7.612488782316189</v>
      </c>
      <c r="N16" s="7">
        <f t="shared" si="11"/>
        <v>0.02312835229955182</v>
      </c>
      <c r="P16" s="6">
        <f>SQRT(B16*B16+P$23)</f>
        <v>47806.154346509924</v>
      </c>
      <c r="R16" s="8">
        <f t="shared" si="12"/>
        <v>58.28344779487058</v>
      </c>
      <c r="S16" s="10">
        <f>N16/N$18</f>
        <v>0.9570137531970598</v>
      </c>
      <c r="T16" s="10">
        <f>E16/E$18</f>
        <v>0.9780091548432454</v>
      </c>
      <c r="U16" s="10">
        <f>F16/F$18</f>
        <v>1</v>
      </c>
      <c r="V16">
        <f t="shared" si="13"/>
        <v>500</v>
      </c>
    </row>
    <row r="17" spans="1:22" ht="12.75">
      <c r="A17">
        <f t="shared" si="0"/>
        <v>450</v>
      </c>
      <c r="B17" s="2">
        <f t="shared" si="1"/>
        <v>20327.368400449574</v>
      </c>
      <c r="C17" s="2">
        <f t="shared" si="2"/>
        <v>34174.10853054221</v>
      </c>
      <c r="D17" s="6">
        <f t="shared" si="3"/>
        <v>102.41671693855501</v>
      </c>
      <c r="E17" s="6">
        <f t="shared" si="4"/>
        <v>290.53788267432856</v>
      </c>
      <c r="F17" s="6">
        <f>MIN(B17/D$4+G$29,F$4)</f>
        <v>126</v>
      </c>
      <c r="G17" s="6">
        <f t="shared" si="5"/>
        <v>357.439432850872</v>
      </c>
      <c r="H17" s="6">
        <f t="shared" si="6"/>
        <v>150.35035799149094</v>
      </c>
      <c r="I17" s="2">
        <f t="shared" si="7"/>
        <v>3056227.1160325143</v>
      </c>
      <c r="J17" s="9">
        <f t="shared" si="8"/>
        <v>1.2302679070995197</v>
      </c>
      <c r="K17">
        <f t="shared" si="9"/>
        <v>6828</v>
      </c>
      <c r="L17" s="6">
        <f t="shared" si="10"/>
        <v>169.39473667041312</v>
      </c>
      <c r="M17" s="8">
        <f>M$4/SQRT(K17)</f>
        <v>7.640310265233565</v>
      </c>
      <c r="N17" s="7">
        <f t="shared" si="11"/>
        <v>0.023640174130348676</v>
      </c>
      <c r="P17" s="6">
        <f>SQRT(B17*B17+P$23)</f>
        <v>48020.848660634845</v>
      </c>
      <c r="R17" s="8">
        <f t="shared" si="12"/>
        <v>59.57323880847866</v>
      </c>
      <c r="S17" s="10">
        <f>N17/N$18</f>
        <v>0.9781921114698444</v>
      </c>
      <c r="T17" s="10">
        <f>E17/E$18</f>
        <v>0.9890160566183457</v>
      </c>
      <c r="U17" s="10">
        <f>F17/F$18</f>
        <v>1</v>
      </c>
      <c r="V17">
        <f t="shared" si="13"/>
        <v>450</v>
      </c>
    </row>
    <row r="18" spans="1:22" ht="12.75">
      <c r="A18">
        <f t="shared" si="0"/>
        <v>400</v>
      </c>
      <c r="B18" s="2">
        <f t="shared" si="1"/>
        <v>20857.054497613273</v>
      </c>
      <c r="C18" s="2">
        <f t="shared" si="2"/>
        <v>34552.25375569405</v>
      </c>
      <c r="D18" s="6">
        <f t="shared" si="3"/>
        <v>101.29585250059748</v>
      </c>
      <c r="E18" s="15">
        <f t="shared" si="4"/>
        <v>293.7645761462547</v>
      </c>
      <c r="F18" s="15">
        <f>MIN(B18/D$4+G$29,F$4)</f>
        <v>126</v>
      </c>
      <c r="G18" s="15">
        <f t="shared" si="5"/>
        <v>365.4082144598148</v>
      </c>
      <c r="H18" s="6">
        <f t="shared" si="6"/>
        <v>154.26815456814552</v>
      </c>
      <c r="I18" s="2">
        <f t="shared" si="7"/>
        <v>3217579.3070740392</v>
      </c>
      <c r="J18" s="9">
        <f t="shared" si="8"/>
        <v>1.2438811352049859</v>
      </c>
      <c r="K18">
        <f t="shared" si="9"/>
        <v>6778</v>
      </c>
      <c r="L18" s="6">
        <f t="shared" si="10"/>
        <v>173.8087874801106</v>
      </c>
      <c r="M18" s="8">
        <f>M$4/SQRT(K18)</f>
        <v>7.668439033761535</v>
      </c>
      <c r="N18" s="7">
        <f t="shared" si="11"/>
        <v>0.024167209951045952</v>
      </c>
      <c r="P18" s="6">
        <f>SQRT(B18*B18+P$23)</f>
        <v>48247.45301377483</v>
      </c>
      <c r="R18" s="8">
        <f t="shared" si="12"/>
        <v>60.9013690766358</v>
      </c>
      <c r="S18" s="10">
        <f>N18/N$18</f>
        <v>1</v>
      </c>
      <c r="T18" s="10">
        <f>E18/E$18</f>
        <v>1</v>
      </c>
      <c r="U18" s="10">
        <f>F18/F$18</f>
        <v>1</v>
      </c>
      <c r="V18">
        <f t="shared" si="13"/>
        <v>400</v>
      </c>
    </row>
    <row r="19" spans="1:22" ht="12.75">
      <c r="A19">
        <f t="shared" si="0"/>
        <v>350</v>
      </c>
      <c r="B19" s="2">
        <f t="shared" si="1"/>
        <v>21404.61949592436</v>
      </c>
      <c r="C19" s="2">
        <f t="shared" si="2"/>
        <v>34945.647676995926</v>
      </c>
      <c r="D19" s="6">
        <f t="shared" si="3"/>
        <v>100.15553388366546</v>
      </c>
      <c r="E19" s="6">
        <f t="shared" si="4"/>
        <v>296.9815410585798</v>
      </c>
      <c r="F19" s="6">
        <f>MIN(B19/D$4+G$29,F$4)</f>
        <v>126</v>
      </c>
      <c r="G19" s="6">
        <f t="shared" si="5"/>
        <v>373.6156428145594</v>
      </c>
      <c r="H19" s="6">
        <f t="shared" si="6"/>
        <v>158.31819153790207</v>
      </c>
      <c r="I19" s="2">
        <f t="shared" si="7"/>
        <v>3388740.6491516656</v>
      </c>
      <c r="J19" s="9">
        <f t="shared" si="8"/>
        <v>1.2580433163718532</v>
      </c>
      <c r="K19">
        <f t="shared" si="9"/>
        <v>6728</v>
      </c>
      <c r="L19" s="6">
        <f t="shared" si="10"/>
        <v>178.371829132703</v>
      </c>
      <c r="M19" s="8">
        <f>M$4/SQRT(K19)</f>
        <v>7.696880786439783</v>
      </c>
      <c r="N19" s="7">
        <f t="shared" si="11"/>
        <v>0.02471002928667721</v>
      </c>
      <c r="P19" s="6">
        <f>SQRT(B19*B19+P$23)</f>
        <v>48486.675858067494</v>
      </c>
      <c r="R19" s="8">
        <f t="shared" si="12"/>
        <v>62.269273802426575</v>
      </c>
      <c r="S19" s="10">
        <f>N19/N$18</f>
        <v>1.022460984810858</v>
      </c>
      <c r="T19" s="10">
        <f>E19/E$18</f>
        <v>1.010950826524174</v>
      </c>
      <c r="U19" s="10">
        <f>F19/F$18</f>
        <v>1</v>
      </c>
      <c r="V19">
        <f t="shared" si="13"/>
        <v>350</v>
      </c>
    </row>
    <row r="20" spans="1:22" ht="12.75">
      <c r="A20">
        <f t="shared" si="0"/>
        <v>300</v>
      </c>
      <c r="B20" s="2">
        <f t="shared" si="1"/>
        <v>21970.806547864337</v>
      </c>
      <c r="C20" s="2">
        <f t="shared" si="2"/>
        <v>35355.03776218249</v>
      </c>
      <c r="D20" s="6">
        <f t="shared" si="3"/>
        <v>98.99579300531178</v>
      </c>
      <c r="E20" s="6">
        <f t="shared" si="4"/>
        <v>300.18566507158255</v>
      </c>
      <c r="F20" s="6">
        <f>MIN(B20/D$4+G$29,F$4)</f>
        <v>126</v>
      </c>
      <c r="G20" s="6">
        <f t="shared" si="5"/>
        <v>382.0707188737801</v>
      </c>
      <c r="H20" s="6">
        <f t="shared" si="6"/>
        <v>162.50596559071255</v>
      </c>
      <c r="I20" s="2">
        <f t="shared" si="7"/>
        <v>3570387.132867444</v>
      </c>
      <c r="J20" s="9">
        <f t="shared" si="8"/>
        <v>1.27278135943857</v>
      </c>
      <c r="K20">
        <f t="shared" si="9"/>
        <v>6678</v>
      </c>
      <c r="L20" s="6">
        <f t="shared" si="10"/>
        <v>183.09005456553615</v>
      </c>
      <c r="M20" s="8">
        <f>M$4/SQRT(K20)</f>
        <v>7.725641370863326</v>
      </c>
      <c r="N20" s="7">
        <f t="shared" si="11"/>
        <v>0.02526922743874207</v>
      </c>
      <c r="P20" s="6">
        <f>SQRT(B20*B20+P$23)</f>
        <v>48739.26897650064</v>
      </c>
      <c r="R20" s="8">
        <f t="shared" si="12"/>
        <v>63.678453145630016</v>
      </c>
      <c r="S20" s="10">
        <f>N20/N$18</f>
        <v>1.0455996985141605</v>
      </c>
      <c r="T20" s="10">
        <f>E20/E$18</f>
        <v>1.0218579415175335</v>
      </c>
      <c r="U20" s="10">
        <f>F20/F$18</f>
        <v>1</v>
      </c>
      <c r="V20">
        <f t="shared" si="13"/>
        <v>300</v>
      </c>
    </row>
    <row r="21" spans="1:22" ht="12.75">
      <c r="A21">
        <f t="shared" si="0"/>
        <v>250</v>
      </c>
      <c r="B21" s="2">
        <f t="shared" si="1"/>
        <v>22556.395589586682</v>
      </c>
      <c r="C21" s="2">
        <f t="shared" si="2"/>
        <v>35781.21282352973</v>
      </c>
      <c r="D21" s="6">
        <f t="shared" si="3"/>
        <v>97.81669551733023</v>
      </c>
      <c r="E21" s="6">
        <f t="shared" si="4"/>
        <v>303.3737099218</v>
      </c>
      <c r="F21" s="6">
        <f>MIN(B21/D$4+G$29,F$4)</f>
        <v>126</v>
      </c>
      <c r="G21" s="6">
        <f t="shared" si="5"/>
        <v>390.7828540719252</v>
      </c>
      <c r="H21" s="6">
        <f t="shared" si="6"/>
        <v>166.8372454851086</v>
      </c>
      <c r="I21" s="2">
        <f t="shared" si="7"/>
        <v>3763246.9082390945</v>
      </c>
      <c r="J21" s="9">
        <f t="shared" si="8"/>
        <v>1.2881236616470704</v>
      </c>
      <c r="K21">
        <f t="shared" si="9"/>
        <v>6628</v>
      </c>
      <c r="L21" s="6">
        <f t="shared" si="10"/>
        <v>187.9699632465557</v>
      </c>
      <c r="M21" s="8">
        <f>M$4/SQRT(K21)</f>
        <v>7.754726788733036</v>
      </c>
      <c r="N21" s="7">
        <f t="shared" si="11"/>
        <v>0.02584542685660881</v>
      </c>
      <c r="P21" s="6">
        <f>SQRT(B21*B21+P$23)</f>
        <v>49006.03005747277</v>
      </c>
      <c r="R21" s="8">
        <f t="shared" si="12"/>
        <v>65.1304756786542</v>
      </c>
      <c r="S21" s="10">
        <f>N21/N$18</f>
        <v>1.0694418970564794</v>
      </c>
      <c r="T21" s="10">
        <f>E21/E$18</f>
        <v>1.0327103216514482</v>
      </c>
      <c r="U21" s="10">
        <f>F21/F$18</f>
        <v>1</v>
      </c>
      <c r="V21">
        <f t="shared" si="13"/>
        <v>250</v>
      </c>
    </row>
    <row r="22" spans="1:22" ht="12.75">
      <c r="A22">
        <v>200</v>
      </c>
      <c r="B22" s="2">
        <f t="shared" si="1"/>
        <v>23162.205457788714</v>
      </c>
      <c r="C22" s="2">
        <f t="shared" si="2"/>
        <v>36225.00543153471</v>
      </c>
      <c r="D22" s="6">
        <f t="shared" si="3"/>
        <v>96.61834300107985</v>
      </c>
      <c r="E22" s="6">
        <f t="shared" si="4"/>
        <v>306.5423145352749</v>
      </c>
      <c r="F22" s="6">
        <f>MIN(B22/D$4+G$29,F$4)</f>
        <v>126</v>
      </c>
      <c r="G22" s="6">
        <f t="shared" si="5"/>
        <v>399.76189232527986</v>
      </c>
      <c r="H22" s="6">
        <f t="shared" si="6"/>
        <v>171.31808770553783</v>
      </c>
      <c r="I22" s="2">
        <f t="shared" si="7"/>
        <v>3968104.746071134</v>
      </c>
      <c r="J22" s="9">
        <f t="shared" si="8"/>
        <v>1.3041001955352491</v>
      </c>
      <c r="K22">
        <f t="shared" si="9"/>
        <v>6578</v>
      </c>
      <c r="L22" s="6">
        <f t="shared" si="10"/>
        <v>193.01837881490596</v>
      </c>
      <c r="M22" s="8">
        <f>M$4/SQRT(K22)</f>
        <v>7.784143201116875</v>
      </c>
      <c r="N22" s="7">
        <f t="shared" si="11"/>
        <v>0.02643927859294179</v>
      </c>
      <c r="P22" s="6">
        <f>SQRT(B22*B22+P$23)</f>
        <v>49287.8054052807</v>
      </c>
      <c r="R22" s="8">
        <f t="shared" si="12"/>
        <v>66.62698205421331</v>
      </c>
      <c r="S22" s="10">
        <f>N22/N$18</f>
        <v>1.0940145199424438</v>
      </c>
      <c r="T22" s="10">
        <f>E22/E$18</f>
        <v>1.0434965255397528</v>
      </c>
      <c r="U22" s="10">
        <f>F22/F$18</f>
        <v>1</v>
      </c>
      <c r="V22">
        <f t="shared" si="13"/>
        <v>200</v>
      </c>
    </row>
    <row r="23" spans="3:18" ht="12.75">
      <c r="C23" s="6"/>
      <c r="D23" s="7"/>
      <c r="E23" s="10"/>
      <c r="I23" s="6"/>
      <c r="J23" s="6"/>
      <c r="K23" s="10"/>
      <c r="L23" s="8"/>
      <c r="M23" s="6"/>
      <c r="O23" t="s">
        <v>25</v>
      </c>
      <c r="P23">
        <f>C1*D4*4</f>
        <v>1892799999.9999998</v>
      </c>
      <c r="R23" s="8"/>
    </row>
    <row r="24" spans="1:18" ht="12.75">
      <c r="A24" t="s">
        <v>26</v>
      </c>
      <c r="C24" s="6"/>
      <c r="D24" s="7"/>
      <c r="E24" s="10"/>
      <c r="I24" s="6"/>
      <c r="J24" s="6"/>
      <c r="K24" s="10"/>
      <c r="L24" s="8"/>
      <c r="M24" s="6"/>
      <c r="O24" s="6"/>
      <c r="P24" s="6"/>
      <c r="R24" s="8"/>
    </row>
    <row r="25" spans="1:18" ht="12.75">
      <c r="A25" t="s">
        <v>27</v>
      </c>
      <c r="C25" s="6"/>
      <c r="D25" s="7"/>
      <c r="E25" s="10"/>
      <c r="I25" s="6"/>
      <c r="J25" s="6"/>
      <c r="K25" s="10"/>
      <c r="L25" s="8"/>
      <c r="M25" s="6"/>
      <c r="O25" s="6"/>
      <c r="P25" s="6"/>
      <c r="R25" s="8"/>
    </row>
    <row r="27" spans="1:17" ht="12.75">
      <c r="A27" t="s">
        <v>28</v>
      </c>
      <c r="E27" t="s">
        <v>29</v>
      </c>
      <c r="M27" t="s">
        <v>30</v>
      </c>
      <c r="Q27" t="s">
        <v>31</v>
      </c>
    </row>
    <row r="28" spans="1:18" ht="12.75">
      <c r="A28" t="s">
        <v>32</v>
      </c>
      <c r="E28" t="s">
        <v>33</v>
      </c>
      <c r="R28" t="s">
        <v>34</v>
      </c>
    </row>
    <row r="29" spans="1:18" ht="12.75">
      <c r="A29" t="s">
        <v>35</v>
      </c>
      <c r="E29" t="s">
        <v>36</v>
      </c>
      <c r="G29" s="9">
        <f>SQRT(C1/D4)</f>
        <v>160.8961589488607</v>
      </c>
      <c r="M29" t="s">
        <v>37</v>
      </c>
      <c r="R29" t="s">
        <v>38</v>
      </c>
    </row>
    <row r="30" spans="1:17" ht="12.75">
      <c r="A30" t="s">
        <v>39</v>
      </c>
      <c r="E30" t="s">
        <v>40</v>
      </c>
      <c r="Q30" t="s">
        <v>41</v>
      </c>
    </row>
    <row r="31" spans="1:7" ht="12.75">
      <c r="A31" t="s">
        <v>42</v>
      </c>
      <c r="E31" t="s">
        <v>66</v>
      </c>
      <c r="G31" s="2">
        <f>C1/G29</f>
        <v>21753.160689885965</v>
      </c>
    </row>
    <row r="32" ht="12.75">
      <c r="A32" t="s">
        <v>43</v>
      </c>
    </row>
    <row r="38" spans="1:5" ht="12.75">
      <c r="A38" t="str">
        <f>A1</f>
        <v>Constant power</v>
      </c>
      <c r="C38">
        <f>C1</f>
        <v>3500000</v>
      </c>
      <c r="D38" t="str">
        <f>D1</f>
        <v>Watts</v>
      </c>
      <c r="E38" t="s">
        <v>44</v>
      </c>
    </row>
    <row r="39" spans="1:10" ht="12.75">
      <c r="A39" t="str">
        <f>A2</f>
        <v>Tether length</v>
      </c>
      <c r="C39">
        <f>C2</f>
        <v>120</v>
      </c>
      <c r="D39" t="str">
        <f>D2</f>
        <v>Km</v>
      </c>
      <c r="E39" t="e">
        <f>#REF!</f>
        <v>#REF!</v>
      </c>
      <c r="I39">
        <v>0</v>
      </c>
      <c r="J39" t="s">
        <v>65</v>
      </c>
    </row>
    <row r="40" spans="3:10" ht="12.75">
      <c r="C40" t="s">
        <v>28</v>
      </c>
      <c r="D40">
        <v>280</v>
      </c>
      <c r="E40" t="s">
        <v>47</v>
      </c>
      <c r="H40" t="s">
        <v>29</v>
      </c>
      <c r="I40">
        <f>I39+D40</f>
        <v>280</v>
      </c>
      <c r="J40" t="s">
        <v>50</v>
      </c>
    </row>
    <row r="41" spans="1:12" ht="12.75">
      <c r="A41" t="str">
        <f>A7</f>
        <v>Altitude</v>
      </c>
      <c r="B41" t="str">
        <f>K7</f>
        <v>Radius</v>
      </c>
      <c r="C41" t="str">
        <f>E7</f>
        <v>Newtons</v>
      </c>
      <c r="D41" t="s">
        <v>48</v>
      </c>
      <c r="E41" t="s">
        <v>49</v>
      </c>
      <c r="F41" t="s">
        <v>45</v>
      </c>
      <c r="G41" t="s">
        <v>46</v>
      </c>
      <c r="H41" t="str">
        <f>G7</f>
        <v>Newtons</v>
      </c>
      <c r="I41" t="s">
        <v>48</v>
      </c>
      <c r="J41" t="s">
        <v>49</v>
      </c>
      <c r="K41" t="s">
        <v>45</v>
      </c>
      <c r="L41" t="s">
        <v>46</v>
      </c>
    </row>
    <row r="42" spans="1:12" ht="12.75">
      <c r="A42">
        <f>A8</f>
        <v>900</v>
      </c>
      <c r="B42">
        <f>K8</f>
        <v>7278</v>
      </c>
      <c r="C42" s="8">
        <f>E8</f>
        <v>261.50949987532755</v>
      </c>
      <c r="D42" s="11">
        <f aca="true" t="shared" si="14" ref="D42:D50">C42/D$40/1000</f>
        <v>0.0009339624995547412</v>
      </c>
      <c r="H42" s="8">
        <f>G8</f>
        <v>295.1527581076237</v>
      </c>
      <c r="I42" s="11">
        <f aca="true" t="shared" si="15" ref="I42:I50">H42/I$40/1000</f>
        <v>0.0010541169932415132</v>
      </c>
      <c r="J42">
        <f aca="true" t="shared" si="16" ref="J42:J49">E43</f>
        <v>26</v>
      </c>
      <c r="K42" s="2">
        <f aca="true" t="shared" si="17" ref="K42:K49">J42/I42</f>
        <v>24665.193870034716</v>
      </c>
      <c r="L42" s="9">
        <f aca="true" t="shared" si="18" ref="L42:L49">K42/3600</f>
        <v>6.85144274167631</v>
      </c>
    </row>
    <row r="43" spans="1:12" ht="12.75">
      <c r="A43">
        <f aca="true" t="shared" si="19" ref="A43:A50">A9</f>
        <v>850</v>
      </c>
      <c r="B43">
        <f aca="true" t="shared" si="20" ref="B43:B50">K9</f>
        <v>7228</v>
      </c>
      <c r="C43" s="8">
        <f aca="true" t="shared" si="21" ref="C43:C50">E9</f>
        <v>264.7049819112854</v>
      </c>
      <c r="D43" s="11">
        <f t="shared" si="14"/>
        <v>0.0009453749353974479</v>
      </c>
      <c r="E43">
        <f>ROUND(1000*(M9-M8),)</f>
        <v>26</v>
      </c>
      <c r="F43" s="2">
        <f aca="true" t="shared" si="22" ref="F43:F50">E43/D43</f>
        <v>27502.31577598285</v>
      </c>
      <c r="G43" s="9">
        <f aca="true" t="shared" si="23" ref="G43:G50">F43/3600</f>
        <v>7.639532159995236</v>
      </c>
      <c r="H43" s="8">
        <f aca="true" t="shared" si="24" ref="H43:H50">G9</f>
        <v>301.32042270142176</v>
      </c>
      <c r="I43" s="11">
        <f t="shared" si="15"/>
        <v>0.001076144366790792</v>
      </c>
      <c r="J43">
        <f t="shared" si="16"/>
        <v>26</v>
      </c>
      <c r="K43" s="2">
        <f t="shared" si="17"/>
        <v>24160.327185037</v>
      </c>
      <c r="L43" s="9">
        <f t="shared" si="18"/>
        <v>6.711201995843611</v>
      </c>
    </row>
    <row r="44" spans="1:12" ht="12.75">
      <c r="A44">
        <f t="shared" si="19"/>
        <v>800</v>
      </c>
      <c r="B44">
        <f t="shared" si="20"/>
        <v>7178</v>
      </c>
      <c r="C44" s="8">
        <f t="shared" si="21"/>
        <v>267.9129539394277</v>
      </c>
      <c r="D44" s="11">
        <f t="shared" si="14"/>
        <v>0.0009568319783550991</v>
      </c>
      <c r="E44">
        <f aca="true" t="shared" si="25" ref="E44:E50">ROUND(1000*(M10-M9),)</f>
        <v>26</v>
      </c>
      <c r="F44" s="2">
        <f t="shared" si="22"/>
        <v>27173.00486204161</v>
      </c>
      <c r="G44" s="9">
        <f t="shared" si="23"/>
        <v>7.548056906122669</v>
      </c>
      <c r="H44" s="8">
        <f t="shared" si="24"/>
        <v>307.66113485980713</v>
      </c>
      <c r="I44" s="11">
        <f t="shared" si="15"/>
        <v>0.001098789767356454</v>
      </c>
      <c r="J44">
        <f t="shared" si="16"/>
        <v>26</v>
      </c>
      <c r="K44" s="2">
        <f t="shared" si="17"/>
        <v>23662.397277827436</v>
      </c>
      <c r="L44" s="9">
        <f t="shared" si="18"/>
        <v>6.572888132729844</v>
      </c>
    </row>
    <row r="45" spans="1:12" ht="12.75">
      <c r="A45">
        <f t="shared" si="19"/>
        <v>750</v>
      </c>
      <c r="B45">
        <f t="shared" si="20"/>
        <v>7128</v>
      </c>
      <c r="C45" s="8">
        <f t="shared" si="21"/>
        <v>271.13145227040843</v>
      </c>
      <c r="D45" s="11">
        <f t="shared" si="14"/>
        <v>0.0009683266152514587</v>
      </c>
      <c r="E45">
        <f t="shared" si="25"/>
        <v>26</v>
      </c>
      <c r="F45" s="2">
        <f t="shared" si="22"/>
        <v>26850.444457987167</v>
      </c>
      <c r="G45" s="9">
        <f t="shared" si="23"/>
        <v>7.458456793885325</v>
      </c>
      <c r="H45" s="8">
        <f t="shared" si="24"/>
        <v>314.1810064462686</v>
      </c>
      <c r="I45" s="11">
        <f t="shared" si="15"/>
        <v>0.001122075023022388</v>
      </c>
      <c r="J45">
        <f t="shared" si="16"/>
        <v>26</v>
      </c>
      <c r="K45" s="2">
        <f t="shared" si="17"/>
        <v>23171.356162948152</v>
      </c>
      <c r="L45" s="9">
        <f t="shared" si="18"/>
        <v>6.436487823041153</v>
      </c>
    </row>
    <row r="46" spans="1:12" ht="12.75">
      <c r="A46">
        <f t="shared" si="19"/>
        <v>700</v>
      </c>
      <c r="B46">
        <f t="shared" si="20"/>
        <v>7078</v>
      </c>
      <c r="C46" s="8">
        <f t="shared" si="21"/>
        <v>274.35839127943973</v>
      </c>
      <c r="D46" s="11">
        <f t="shared" si="14"/>
        <v>0.0009798513974265705</v>
      </c>
      <c r="E46">
        <f t="shared" si="25"/>
        <v>26</v>
      </c>
      <c r="F46" s="2">
        <f t="shared" si="22"/>
        <v>26534.635831805736</v>
      </c>
      <c r="G46" s="9">
        <f t="shared" si="23"/>
        <v>7.370732175501593</v>
      </c>
      <c r="H46" s="8">
        <f t="shared" si="24"/>
        <v>320.8864102026435</v>
      </c>
      <c r="I46" s="11">
        <f t="shared" si="15"/>
        <v>0.0011460228935808697</v>
      </c>
      <c r="J46">
        <f t="shared" si="16"/>
        <v>27</v>
      </c>
      <c r="K46" s="2">
        <f t="shared" si="17"/>
        <v>23559.738772439043</v>
      </c>
      <c r="L46" s="9">
        <f t="shared" si="18"/>
        <v>6.544371881233068</v>
      </c>
    </row>
    <row r="47" spans="1:12" ht="12.75">
      <c r="A47">
        <f t="shared" si="19"/>
        <v>650</v>
      </c>
      <c r="B47">
        <f t="shared" si="20"/>
        <v>7028</v>
      </c>
      <c r="C47" s="8">
        <f t="shared" si="21"/>
        <v>277.5915609090363</v>
      </c>
      <c r="D47" s="11">
        <f t="shared" si="14"/>
        <v>0.0009913984318179866</v>
      </c>
      <c r="E47">
        <f t="shared" si="25"/>
        <v>27</v>
      </c>
      <c r="F47" s="2">
        <f t="shared" si="22"/>
        <v>27234.2573212351</v>
      </c>
      <c r="G47" s="9">
        <f t="shared" si="23"/>
        <v>7.565071478120862</v>
      </c>
      <c r="H47" s="8">
        <f t="shared" si="24"/>
        <v>327.78399283328594</v>
      </c>
      <c r="I47" s="11">
        <f t="shared" si="15"/>
        <v>0.0011706571172617356</v>
      </c>
      <c r="J47">
        <f t="shared" si="16"/>
        <v>27</v>
      </c>
      <c r="K47" s="2">
        <f t="shared" si="17"/>
        <v>23063.96945943937</v>
      </c>
      <c r="L47" s="9">
        <f t="shared" si="18"/>
        <v>6.406658183177603</v>
      </c>
    </row>
    <row r="48" spans="1:12" ht="12.75">
      <c r="A48">
        <f t="shared" si="19"/>
        <v>600</v>
      </c>
      <c r="B48">
        <f t="shared" si="20"/>
        <v>6978</v>
      </c>
      <c r="C48" s="8">
        <f t="shared" si="21"/>
        <v>280.82862454201546</v>
      </c>
      <c r="D48" s="11">
        <f t="shared" si="14"/>
        <v>0.0010029593733643408</v>
      </c>
      <c r="E48">
        <f t="shared" si="25"/>
        <v>27</v>
      </c>
      <c r="F48" s="2">
        <f t="shared" si="22"/>
        <v>26920.332684494315</v>
      </c>
      <c r="G48" s="9">
        <f t="shared" si="23"/>
        <v>7.47787019013731</v>
      </c>
      <c r="H48" s="8">
        <f t="shared" si="24"/>
        <v>334.8806888446143</v>
      </c>
      <c r="I48" s="11">
        <f t="shared" si="15"/>
        <v>0.001196002460159337</v>
      </c>
      <c r="J48">
        <f t="shared" si="16"/>
        <v>27</v>
      </c>
      <c r="K48" s="2">
        <f t="shared" si="17"/>
        <v>22575.204399163977</v>
      </c>
      <c r="L48" s="9">
        <f t="shared" si="18"/>
        <v>6.270890110878883</v>
      </c>
    </row>
    <row r="49" spans="1:12" ht="12.75">
      <c r="A49">
        <f t="shared" si="19"/>
        <v>550</v>
      </c>
      <c r="B49">
        <f t="shared" si="20"/>
        <v>6928</v>
      </c>
      <c r="C49" s="8">
        <f t="shared" si="21"/>
        <v>284.0671173017077</v>
      </c>
      <c r="D49" s="11">
        <f t="shared" si="14"/>
        <v>0.0010145254189346704</v>
      </c>
      <c r="E49">
        <f t="shared" si="25"/>
        <v>27</v>
      </c>
      <c r="F49" s="2">
        <f t="shared" si="22"/>
        <v>26613.42879742932</v>
      </c>
      <c r="G49" s="9">
        <f t="shared" si="23"/>
        <v>7.392619110397033</v>
      </c>
      <c r="H49" s="8">
        <f t="shared" si="24"/>
        <v>342.183735189456</v>
      </c>
      <c r="I49" s="11">
        <f t="shared" si="15"/>
        <v>0.0012220847685337714</v>
      </c>
      <c r="J49">
        <f t="shared" si="16"/>
        <v>28</v>
      </c>
      <c r="K49" s="2">
        <f t="shared" si="17"/>
        <v>22911.66760354418</v>
      </c>
      <c r="L49" s="9">
        <f t="shared" si="18"/>
        <v>6.364352112095606</v>
      </c>
    </row>
    <row r="50" spans="1:9" ht="12.75">
      <c r="A50">
        <f t="shared" si="19"/>
        <v>500</v>
      </c>
      <c r="B50">
        <f t="shared" si="20"/>
        <v>6878</v>
      </c>
      <c r="C50" s="8">
        <f t="shared" si="21"/>
        <v>287.30444483968273</v>
      </c>
      <c r="D50" s="11">
        <f t="shared" si="14"/>
        <v>0.0010260873029988668</v>
      </c>
      <c r="E50">
        <f t="shared" si="25"/>
        <v>28</v>
      </c>
      <c r="F50" s="2">
        <f t="shared" si="22"/>
        <v>27288.126378882716</v>
      </c>
      <c r="G50" s="9">
        <f t="shared" si="23"/>
        <v>7.580035105245199</v>
      </c>
      <c r="H50" s="8">
        <f t="shared" si="24"/>
        <v>349.7006867692235</v>
      </c>
      <c r="I50" s="11">
        <f t="shared" si="15"/>
        <v>0.0012489310241757983</v>
      </c>
    </row>
    <row r="51" spans="3:12" ht="12.75">
      <c r="C51" s="8"/>
      <c r="D51" s="9">
        <f>D40+E51</f>
        <v>280</v>
      </c>
      <c r="E51">
        <v>0</v>
      </c>
      <c r="F51" s="2" t="s">
        <v>57</v>
      </c>
      <c r="G51" s="9" t="s">
        <v>64</v>
      </c>
      <c r="H51" s="8"/>
      <c r="I51" s="6">
        <f>D40</f>
        <v>280</v>
      </c>
      <c r="K51" s="2"/>
      <c r="L51" s="9"/>
    </row>
    <row r="52" spans="1:12" ht="12.75">
      <c r="A52">
        <f aca="true" t="shared" si="26" ref="A52:A58">A16</f>
        <v>500</v>
      </c>
      <c r="B52">
        <f aca="true" t="shared" si="27" ref="B52:B58">K16</f>
        <v>6878</v>
      </c>
      <c r="C52" s="8">
        <f aca="true" t="shared" si="28" ref="C52:C58">E16</f>
        <v>287.30444483968273</v>
      </c>
      <c r="D52" s="11">
        <f aca="true" t="shared" si="29" ref="D52:D58">C52/D$51/1000</f>
        <v>0.0010260873029988668</v>
      </c>
      <c r="E52">
        <f aca="true" t="shared" si="30" ref="E52:E58">ROUND(1000*(M16-M15),)</f>
        <v>28</v>
      </c>
      <c r="F52" s="2">
        <f aca="true" t="shared" si="31" ref="F52:F58">E52/D52</f>
        <v>27288.126378882716</v>
      </c>
      <c r="G52" s="9">
        <f aca="true" t="shared" si="32" ref="G52:G58">F52/3600</f>
        <v>7.580035105245199</v>
      </c>
      <c r="H52" s="8">
        <f>G18</f>
        <v>365.4082144598148</v>
      </c>
      <c r="I52" s="11">
        <f aca="true" t="shared" si="33" ref="I52:I57">H52/I$51/1000</f>
        <v>0.0013050293373564814</v>
      </c>
      <c r="J52">
        <f aca="true" t="shared" si="34" ref="J52:J58">E52</f>
        <v>28</v>
      </c>
      <c r="K52" s="2">
        <f aca="true" t="shared" si="35" ref="K52:K58">J52/I52</f>
        <v>21455.456362933495</v>
      </c>
      <c r="L52" s="9">
        <f aca="true" t="shared" si="36" ref="L52:L58">K52/3600</f>
        <v>5.959848989703748</v>
      </c>
    </row>
    <row r="53" spans="1:12" ht="12.75">
      <c r="A53">
        <f t="shared" si="26"/>
        <v>450</v>
      </c>
      <c r="B53">
        <f t="shared" si="27"/>
        <v>6828</v>
      </c>
      <c r="C53" s="8">
        <f t="shared" si="28"/>
        <v>290.53788267432856</v>
      </c>
      <c r="D53" s="11">
        <f t="shared" si="29"/>
        <v>0.001037635295265459</v>
      </c>
      <c r="E53">
        <f t="shared" si="30"/>
        <v>28</v>
      </c>
      <c r="F53" s="2">
        <f t="shared" si="31"/>
        <v>26984.432900228916</v>
      </c>
      <c r="G53" s="9">
        <f t="shared" si="32"/>
        <v>7.495675805619143</v>
      </c>
      <c r="H53" s="8">
        <f aca="true" t="shared" si="37" ref="H53:H58">G17</f>
        <v>357.439432850872</v>
      </c>
      <c r="I53" s="11">
        <f t="shared" si="33"/>
        <v>0.0012765694030388286</v>
      </c>
      <c r="J53">
        <f t="shared" si="34"/>
        <v>28</v>
      </c>
      <c r="K53" s="2">
        <f t="shared" si="35"/>
        <v>21933.7859213506</v>
      </c>
      <c r="L53" s="9">
        <f t="shared" si="36"/>
        <v>6.092718311486278</v>
      </c>
    </row>
    <row r="54" spans="1:12" ht="12.75">
      <c r="A54">
        <f t="shared" si="26"/>
        <v>400</v>
      </c>
      <c r="B54">
        <f t="shared" si="27"/>
        <v>6778</v>
      </c>
      <c r="C54" s="8">
        <f t="shared" si="28"/>
        <v>293.7645761462547</v>
      </c>
      <c r="D54" s="11">
        <f t="shared" si="29"/>
        <v>0.0010491592005223383</v>
      </c>
      <c r="E54">
        <f t="shared" si="30"/>
        <v>28</v>
      </c>
      <c r="F54" s="2">
        <f t="shared" si="31"/>
        <v>26688.037417066746</v>
      </c>
      <c r="G54" s="9">
        <f t="shared" si="32"/>
        <v>7.413343726962985</v>
      </c>
      <c r="H54" s="8">
        <f t="shared" si="37"/>
        <v>365.4082144598148</v>
      </c>
      <c r="I54" s="11">
        <f t="shared" si="33"/>
        <v>0.0013050293373564814</v>
      </c>
      <c r="J54">
        <f t="shared" si="34"/>
        <v>28</v>
      </c>
      <c r="K54" s="2">
        <f t="shared" si="35"/>
        <v>21455.456362933495</v>
      </c>
      <c r="L54" s="9">
        <f t="shared" si="36"/>
        <v>5.959848989703748</v>
      </c>
    </row>
    <row r="55" spans="1:12" ht="12.75">
      <c r="A55">
        <f t="shared" si="26"/>
        <v>350</v>
      </c>
      <c r="B55">
        <f t="shared" si="27"/>
        <v>6728</v>
      </c>
      <c r="C55" s="8">
        <f t="shared" si="28"/>
        <v>296.9815410585798</v>
      </c>
      <c r="D55" s="11">
        <f t="shared" si="29"/>
        <v>0.0010606483609234994</v>
      </c>
      <c r="E55">
        <f t="shared" si="30"/>
        <v>28</v>
      </c>
      <c r="F55" s="2">
        <f t="shared" si="31"/>
        <v>26398.947126661835</v>
      </c>
      <c r="G55" s="9">
        <f t="shared" si="32"/>
        <v>7.333040868517176</v>
      </c>
      <c r="H55" s="8">
        <f t="shared" si="37"/>
        <v>373.6156428145594</v>
      </c>
      <c r="I55" s="11">
        <f t="shared" si="33"/>
        <v>0.0013343415814805692</v>
      </c>
      <c r="J55">
        <f t="shared" si="34"/>
        <v>28</v>
      </c>
      <c r="K55" s="2">
        <f t="shared" si="35"/>
        <v>20984.132090773594</v>
      </c>
      <c r="L55" s="9">
        <f t="shared" si="36"/>
        <v>5.828925580770442</v>
      </c>
    </row>
    <row r="56" spans="1:12" ht="12.75">
      <c r="A56">
        <f t="shared" si="26"/>
        <v>300</v>
      </c>
      <c r="B56">
        <f t="shared" si="27"/>
        <v>6678</v>
      </c>
      <c r="C56" s="8">
        <f t="shared" si="28"/>
        <v>300.18566507158255</v>
      </c>
      <c r="D56" s="11">
        <f t="shared" si="29"/>
        <v>0.0010720916609699375</v>
      </c>
      <c r="E56">
        <f t="shared" si="30"/>
        <v>29</v>
      </c>
      <c r="F56" s="2">
        <f t="shared" si="31"/>
        <v>27049.925911897553</v>
      </c>
      <c r="G56" s="9">
        <f t="shared" si="32"/>
        <v>7.513868308860432</v>
      </c>
      <c r="H56" s="8">
        <f t="shared" si="37"/>
        <v>382.0707188737801</v>
      </c>
      <c r="I56" s="11">
        <f t="shared" si="33"/>
        <v>0.0013645382816920718</v>
      </c>
      <c r="J56">
        <f t="shared" si="34"/>
        <v>29</v>
      </c>
      <c r="K56" s="2">
        <f t="shared" si="35"/>
        <v>21252.610050660547</v>
      </c>
      <c r="L56" s="9">
        <f t="shared" si="36"/>
        <v>5.903502791850152</v>
      </c>
    </row>
    <row r="57" spans="1:12" ht="12.75">
      <c r="A57">
        <f t="shared" si="26"/>
        <v>250</v>
      </c>
      <c r="B57">
        <f t="shared" si="27"/>
        <v>6628</v>
      </c>
      <c r="C57" s="8">
        <f t="shared" si="28"/>
        <v>303.3737099218</v>
      </c>
      <c r="D57" s="11">
        <f t="shared" si="29"/>
        <v>0.0010834775354350002</v>
      </c>
      <c r="E57">
        <f t="shared" si="30"/>
        <v>29</v>
      </c>
      <c r="F57" s="2">
        <f t="shared" si="31"/>
        <v>26765.66800100468</v>
      </c>
      <c r="G57" s="9">
        <f t="shared" si="32"/>
        <v>7.434907778056855</v>
      </c>
      <c r="H57" s="8">
        <f t="shared" si="37"/>
        <v>390.7828540719252</v>
      </c>
      <c r="I57" s="11">
        <f t="shared" si="33"/>
        <v>0.0013956530502568759</v>
      </c>
      <c r="J57">
        <f t="shared" si="34"/>
        <v>29</v>
      </c>
      <c r="K57" s="2">
        <f t="shared" si="35"/>
        <v>20778.803152160508</v>
      </c>
      <c r="L57" s="9">
        <f t="shared" si="36"/>
        <v>5.77188976448903</v>
      </c>
    </row>
    <row r="58" spans="1:12" ht="12.75">
      <c r="A58">
        <f t="shared" si="26"/>
        <v>200</v>
      </c>
      <c r="B58">
        <f t="shared" si="27"/>
        <v>6578</v>
      </c>
      <c r="C58" s="8">
        <f t="shared" si="28"/>
        <v>306.5423145352749</v>
      </c>
      <c r="D58" s="11">
        <f t="shared" si="29"/>
        <v>0.0010947939804831245</v>
      </c>
      <c r="E58">
        <f t="shared" si="30"/>
        <v>29</v>
      </c>
      <c r="F58" s="2">
        <f t="shared" si="31"/>
        <v>26489.002056078636</v>
      </c>
      <c r="G58" s="9">
        <f t="shared" si="32"/>
        <v>7.35805612668851</v>
      </c>
      <c r="H58" s="8">
        <f t="shared" si="37"/>
        <v>399.76189232527986</v>
      </c>
      <c r="I58" s="11">
        <f>H58/I$40/1000</f>
        <v>0.0014277210440188566</v>
      </c>
      <c r="J58">
        <f t="shared" si="34"/>
        <v>29</v>
      </c>
      <c r="K58" s="2">
        <f t="shared" si="35"/>
        <v>20312.091161988214</v>
      </c>
      <c r="L58" s="9">
        <f t="shared" si="36"/>
        <v>5.642247544996726</v>
      </c>
    </row>
    <row r="59" spans="1:9" ht="12.75">
      <c r="A59" t="s">
        <v>61</v>
      </c>
      <c r="C59" t="s">
        <v>56</v>
      </c>
      <c r="D59" t="s">
        <v>53</v>
      </c>
      <c r="E59" t="s">
        <v>54</v>
      </c>
      <c r="G59" t="s">
        <v>51</v>
      </c>
      <c r="H59" t="s">
        <v>52</v>
      </c>
      <c r="I59" s="12">
        <v>0.4</v>
      </c>
    </row>
    <row r="60" spans="1:8" ht="12.75">
      <c r="A60">
        <f aca="true" t="shared" si="38" ref="A60:B67">A42</f>
        <v>900</v>
      </c>
      <c r="B60">
        <f t="shared" si="38"/>
        <v>7278</v>
      </c>
      <c r="D60" s="9">
        <f>SUM(G43:G$50)</f>
        <v>60.03237391940523</v>
      </c>
      <c r="E60" s="9">
        <f>SUM(L42:L$50)</f>
        <v>52.15829298067608</v>
      </c>
      <c r="G60" s="9">
        <f aca="true" t="shared" si="39" ref="G60:G74">D60+E60</f>
        <v>112.19066690008131</v>
      </c>
      <c r="H60" s="9">
        <f aca="true" t="shared" si="40" ref="H60:H74">G60/24/I$59</f>
        <v>11.686527802091803</v>
      </c>
    </row>
    <row r="61" spans="1:8" ht="12.75">
      <c r="A61">
        <f t="shared" si="38"/>
        <v>850</v>
      </c>
      <c r="B61">
        <f t="shared" si="38"/>
        <v>7228</v>
      </c>
      <c r="D61" s="9">
        <f>SUM(G44:G$50)</f>
        <v>52.39284175941</v>
      </c>
      <c r="E61" s="9">
        <f>SUM(L43:L$50)</f>
        <v>45.30685023899977</v>
      </c>
      <c r="G61" s="9">
        <f t="shared" si="39"/>
        <v>97.69969199840978</v>
      </c>
      <c r="H61" s="9">
        <f t="shared" si="40"/>
        <v>10.177051249834351</v>
      </c>
    </row>
    <row r="62" spans="1:8" ht="12.75">
      <c r="A62">
        <f t="shared" si="38"/>
        <v>800</v>
      </c>
      <c r="B62">
        <f t="shared" si="38"/>
        <v>7178</v>
      </c>
      <c r="D62" s="9">
        <f>SUM(G45:G$50)</f>
        <v>44.84478485328732</v>
      </c>
      <c r="E62" s="9">
        <f>SUM(L44:L$50)</f>
        <v>38.59564824315615</v>
      </c>
      <c r="G62" s="9">
        <f t="shared" si="39"/>
        <v>83.44043309644347</v>
      </c>
      <c r="H62" s="9">
        <f t="shared" si="40"/>
        <v>8.691711780879528</v>
      </c>
    </row>
    <row r="63" spans="1:8" ht="12.75">
      <c r="A63">
        <f t="shared" si="38"/>
        <v>750</v>
      </c>
      <c r="B63">
        <f t="shared" si="38"/>
        <v>7128</v>
      </c>
      <c r="D63" s="9">
        <f>SUM(G46:G$50)</f>
        <v>37.386328059402</v>
      </c>
      <c r="E63" s="9">
        <f>SUM(L45:L$50)</f>
        <v>32.022760110426304</v>
      </c>
      <c r="G63" s="9">
        <f t="shared" si="39"/>
        <v>69.4090881698283</v>
      </c>
      <c r="H63" s="9">
        <f t="shared" si="40"/>
        <v>7.23011335102378</v>
      </c>
    </row>
    <row r="64" spans="1:8" ht="12.75">
      <c r="A64">
        <f t="shared" si="38"/>
        <v>700</v>
      </c>
      <c r="B64">
        <f t="shared" si="38"/>
        <v>7078</v>
      </c>
      <c r="D64" s="9">
        <f>SUM(G47:G$50)</f>
        <v>30.015595883900403</v>
      </c>
      <c r="E64" s="9">
        <f>SUM(L46:L$50)</f>
        <v>25.58627228738516</v>
      </c>
      <c r="G64" s="9">
        <f t="shared" si="39"/>
        <v>55.60186817128556</v>
      </c>
      <c r="H64" s="9">
        <f t="shared" si="40"/>
        <v>5.791861267842245</v>
      </c>
    </row>
    <row r="65" spans="1:8" ht="12.75">
      <c r="A65">
        <f t="shared" si="38"/>
        <v>650</v>
      </c>
      <c r="B65">
        <f t="shared" si="38"/>
        <v>7028</v>
      </c>
      <c r="D65" s="9">
        <f>SUM(G48:G$50)</f>
        <v>22.45052440577954</v>
      </c>
      <c r="E65" s="9">
        <f>SUM(L47:L$50)</f>
        <v>19.04190040615209</v>
      </c>
      <c r="G65" s="9">
        <f t="shared" si="39"/>
        <v>41.49242481193163</v>
      </c>
      <c r="H65" s="9">
        <f t="shared" si="40"/>
        <v>4.3221275845762115</v>
      </c>
    </row>
    <row r="66" spans="1:8" ht="12.75">
      <c r="A66">
        <f t="shared" si="38"/>
        <v>600</v>
      </c>
      <c r="B66">
        <f t="shared" si="38"/>
        <v>6978</v>
      </c>
      <c r="D66" s="9">
        <f>SUM(G49:G$50)</f>
        <v>14.972654215642232</v>
      </c>
      <c r="E66" s="9">
        <f>SUM(L48:L$50)</f>
        <v>12.635242222974489</v>
      </c>
      <c r="G66" s="9">
        <f t="shared" si="39"/>
        <v>27.60789643861672</v>
      </c>
      <c r="H66" s="9">
        <f t="shared" si="40"/>
        <v>2.8758225456892417</v>
      </c>
    </row>
    <row r="67" spans="1:8" ht="12.75">
      <c r="A67">
        <f t="shared" si="38"/>
        <v>550</v>
      </c>
      <c r="B67">
        <f t="shared" si="38"/>
        <v>6928</v>
      </c>
      <c r="D67" s="9">
        <f>SUM(G$50:G50)</f>
        <v>7.580035105245199</v>
      </c>
      <c r="E67" s="9">
        <f>SUM(L49:L$50)</f>
        <v>6.364352112095606</v>
      </c>
      <c r="G67" s="9">
        <f t="shared" si="39"/>
        <v>13.944387217340804</v>
      </c>
      <c r="H67" s="9">
        <f t="shared" si="40"/>
        <v>1.452540335139667</v>
      </c>
    </row>
    <row r="68" spans="1:8" ht="12.75">
      <c r="A68">
        <f aca="true" t="shared" si="41" ref="A68:B74">A52</f>
        <v>500</v>
      </c>
      <c r="B68">
        <f t="shared" si="41"/>
        <v>6878</v>
      </c>
      <c r="D68" s="9">
        <f>SUM(G$52:G52)</f>
        <v>7.580035105245199</v>
      </c>
      <c r="G68" s="9">
        <f t="shared" si="39"/>
        <v>7.580035105245199</v>
      </c>
      <c r="H68" s="9">
        <f t="shared" si="40"/>
        <v>0.7895869901297082</v>
      </c>
    </row>
    <row r="69" spans="1:8" ht="12.75">
      <c r="A69">
        <f t="shared" si="41"/>
        <v>450</v>
      </c>
      <c r="B69">
        <f t="shared" si="41"/>
        <v>6828</v>
      </c>
      <c r="D69" s="9">
        <f>SUM(G$52:G53)</f>
        <v>15.075710910864341</v>
      </c>
      <c r="G69" s="9">
        <f t="shared" si="39"/>
        <v>15.075710910864341</v>
      </c>
      <c r="H69" s="9">
        <f t="shared" si="40"/>
        <v>1.5703865532150354</v>
      </c>
    </row>
    <row r="70" spans="1:8" ht="12.75">
      <c r="A70">
        <f t="shared" si="41"/>
        <v>400</v>
      </c>
      <c r="B70">
        <f t="shared" si="41"/>
        <v>6778</v>
      </c>
      <c r="D70" s="9">
        <f>SUM(G$52:G54)</f>
        <v>22.489054637827326</v>
      </c>
      <c r="G70" s="9">
        <f t="shared" si="39"/>
        <v>22.489054637827326</v>
      </c>
      <c r="H70" s="9">
        <f t="shared" si="40"/>
        <v>2.342609858107013</v>
      </c>
    </row>
    <row r="71" spans="1:8" ht="12.75">
      <c r="A71">
        <f t="shared" si="41"/>
        <v>350</v>
      </c>
      <c r="B71">
        <f t="shared" si="41"/>
        <v>6728</v>
      </c>
      <c r="D71" s="9">
        <f>SUM(G$52:G55)</f>
        <v>29.822095506344503</v>
      </c>
      <c r="G71" s="9">
        <f t="shared" si="39"/>
        <v>29.822095506344503</v>
      </c>
      <c r="H71" s="9">
        <f t="shared" si="40"/>
        <v>3.1064682819108858</v>
      </c>
    </row>
    <row r="72" spans="1:8" ht="12.75">
      <c r="A72">
        <f t="shared" si="41"/>
        <v>300</v>
      </c>
      <c r="B72">
        <f t="shared" si="41"/>
        <v>6678</v>
      </c>
      <c r="D72" s="9">
        <f>SUM(G$52:G56)</f>
        <v>37.335963815204934</v>
      </c>
      <c r="G72" s="9">
        <f t="shared" si="39"/>
        <v>37.335963815204934</v>
      </c>
      <c r="H72" s="9">
        <f t="shared" si="40"/>
        <v>3.8891628974171804</v>
      </c>
    </row>
    <row r="73" spans="1:8" ht="12.75">
      <c r="A73">
        <f t="shared" si="41"/>
        <v>250</v>
      </c>
      <c r="B73">
        <f t="shared" si="41"/>
        <v>6628</v>
      </c>
      <c r="D73" s="9">
        <f>SUM(G$52:G57)</f>
        <v>44.77087159326179</v>
      </c>
      <c r="G73" s="9">
        <f t="shared" si="39"/>
        <v>44.77087159326179</v>
      </c>
      <c r="H73" s="9">
        <f t="shared" si="40"/>
        <v>4.6636324576314365</v>
      </c>
    </row>
    <row r="74" spans="1:8" ht="12.75">
      <c r="A74">
        <f t="shared" si="41"/>
        <v>200</v>
      </c>
      <c r="B74">
        <f t="shared" si="41"/>
        <v>6578</v>
      </c>
      <c r="D74" s="9">
        <f>SUM(G$52:G58)</f>
        <v>52.1289277199503</v>
      </c>
      <c r="G74" s="9">
        <f t="shared" si="39"/>
        <v>52.1289277199503</v>
      </c>
      <c r="H74" s="9">
        <f t="shared" si="40"/>
        <v>5.430096637494822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4"/>
  <sheetViews>
    <sheetView workbookViewId="0" topLeftCell="A1">
      <selection activeCell="C14" sqref="C14"/>
    </sheetView>
  </sheetViews>
  <sheetFormatPr defaultColWidth="9.140625" defaultRowHeight="12.75"/>
  <cols>
    <col min="4" max="4" width="12.421875" style="0" bestFit="1" customWidth="1"/>
    <col min="6" max="6" width="10.140625" style="0" bestFit="1" customWidth="1"/>
    <col min="7" max="10" width="9.57421875" style="0" customWidth="1"/>
  </cols>
  <sheetData>
    <row r="1" spans="1:15" ht="12.75">
      <c r="A1" t="s">
        <v>60</v>
      </c>
      <c r="C1">
        <v>300000</v>
      </c>
      <c r="D1" t="s">
        <v>0</v>
      </c>
      <c r="F1" s="14">
        <v>37976</v>
      </c>
      <c r="G1">
        <v>0</v>
      </c>
      <c r="H1" t="str">
        <f>P2</f>
        <v>Inclination</v>
      </c>
      <c r="I1" t="s">
        <v>104</v>
      </c>
      <c r="L1">
        <v>215</v>
      </c>
      <c r="M1">
        <v>0.00017</v>
      </c>
      <c r="N1" t="s">
        <v>110</v>
      </c>
      <c r="O1">
        <v>0.029</v>
      </c>
    </row>
    <row r="2" spans="1:16" ht="12.75">
      <c r="A2" t="s">
        <v>1</v>
      </c>
      <c r="C2">
        <v>50</v>
      </c>
      <c r="D2" t="s">
        <v>2</v>
      </c>
      <c r="I2" t="s">
        <v>119</v>
      </c>
      <c r="J2" s="1"/>
      <c r="M2">
        <v>983.008</v>
      </c>
      <c r="N2" t="s">
        <v>111</v>
      </c>
      <c r="O2">
        <f>G1</f>
        <v>0</v>
      </c>
      <c r="P2" t="s">
        <v>67</v>
      </c>
    </row>
    <row r="3" spans="1:16" ht="12.75">
      <c r="A3" t="s">
        <v>55</v>
      </c>
      <c r="C3" t="s">
        <v>120</v>
      </c>
      <c r="D3" s="1" t="s">
        <v>116</v>
      </c>
      <c r="E3" s="1"/>
      <c r="F3" t="s">
        <v>117</v>
      </c>
      <c r="H3" s="9" t="s">
        <v>118</v>
      </c>
      <c r="M3">
        <v>398580</v>
      </c>
      <c r="N3" t="s">
        <v>112</v>
      </c>
      <c r="O3">
        <f>O2/180*PI()</f>
        <v>0</v>
      </c>
      <c r="P3" t="s">
        <v>68</v>
      </c>
    </row>
    <row r="4" spans="1:16" ht="12.75">
      <c r="A4" t="s">
        <v>115</v>
      </c>
      <c r="B4">
        <v>12</v>
      </c>
      <c r="C4">
        <v>1</v>
      </c>
      <c r="D4" s="9">
        <f>VLOOKUP($B$4,AWGamp!$A$12:$F$23,4)*$C$2/C4</f>
        <v>427.50000000000006</v>
      </c>
      <c r="F4" s="9">
        <f>VLOOKUP($B$4,AWGamp!$A$12:$F$23,6)*C4</f>
        <v>25.2</v>
      </c>
      <c r="H4" s="9">
        <f>VLOOKUP($B$4,AWGamp!$A$12:$F$23,3)*C$2*C4</f>
        <v>446.5</v>
      </c>
      <c r="M4" s="8">
        <f>SQRT(M3)</f>
        <v>631.3319253768179</v>
      </c>
      <c r="N4" t="s">
        <v>113</v>
      </c>
      <c r="O4">
        <f>COS(O3)</f>
        <v>1</v>
      </c>
      <c r="P4" t="s">
        <v>69</v>
      </c>
    </row>
    <row r="5" spans="3:18" ht="12.75">
      <c r="C5" s="1" t="s">
        <v>5</v>
      </c>
      <c r="E5" s="1"/>
      <c r="F5" t="s">
        <v>58</v>
      </c>
      <c r="L5">
        <f>215*O4</f>
        <v>215</v>
      </c>
      <c r="O5">
        <f>0.029*O4</f>
        <v>0.029</v>
      </c>
      <c r="R5" t="s">
        <v>6</v>
      </c>
    </row>
    <row r="6" spans="1:21" ht="12.75">
      <c r="A6" t="s">
        <v>7</v>
      </c>
      <c r="C6" t="s">
        <v>10</v>
      </c>
      <c r="D6" t="s">
        <v>9</v>
      </c>
      <c r="F6" t="s">
        <v>9</v>
      </c>
      <c r="H6" t="s">
        <v>63</v>
      </c>
      <c r="I6" t="s">
        <v>63</v>
      </c>
      <c r="K6">
        <v>6378.39</v>
      </c>
      <c r="L6" t="s">
        <v>8</v>
      </c>
      <c r="O6" t="s">
        <v>11</v>
      </c>
      <c r="S6" t="s">
        <v>12</v>
      </c>
      <c r="T6" t="s">
        <v>13</v>
      </c>
      <c r="U6" t="s">
        <v>14</v>
      </c>
    </row>
    <row r="7" spans="1:21" ht="12.75">
      <c r="A7" t="s">
        <v>15</v>
      </c>
      <c r="B7" t="s">
        <v>63</v>
      </c>
      <c r="C7" s="4"/>
      <c r="D7" s="3" t="s">
        <v>19</v>
      </c>
      <c r="E7" t="s">
        <v>20</v>
      </c>
      <c r="F7" t="s">
        <v>29</v>
      </c>
      <c r="G7" t="s">
        <v>20</v>
      </c>
      <c r="H7" t="s">
        <v>9</v>
      </c>
      <c r="I7" t="s">
        <v>62</v>
      </c>
      <c r="J7" t="s">
        <v>21</v>
      </c>
      <c r="K7" t="s">
        <v>16</v>
      </c>
      <c r="L7" t="s">
        <v>17</v>
      </c>
      <c r="M7" t="s">
        <v>114</v>
      </c>
      <c r="N7" t="s">
        <v>18</v>
      </c>
      <c r="O7" s="5" t="s">
        <v>22</v>
      </c>
      <c r="P7" s="4" t="s">
        <v>23</v>
      </c>
      <c r="R7" s="4"/>
      <c r="S7" s="4" t="s">
        <v>24</v>
      </c>
      <c r="T7" s="4" t="s">
        <v>24</v>
      </c>
      <c r="U7" s="4" t="s">
        <v>24</v>
      </c>
    </row>
    <row r="8" spans="1:22" ht="12.75">
      <c r="A8">
        <f aca="true" t="shared" si="0" ref="A8:A21">50+A9</f>
        <v>900</v>
      </c>
      <c r="B8" s="2">
        <f aca="true" t="shared" si="1" ref="B8:B22">L8*$C$2</f>
        <v>6774.153456282205</v>
      </c>
      <c r="C8" s="2">
        <f aca="true" t="shared" si="2" ref="C8:C22">(B8+P8)/2</f>
        <v>15207.495027097999</v>
      </c>
      <c r="D8" s="6">
        <f>(C8-B8)/D$4</f>
        <v>19.727114785534017</v>
      </c>
      <c r="E8" s="6">
        <f aca="true" t="shared" si="3" ref="E8:E22">$C$2*D8*$N8</f>
        <v>19.25433974357159</v>
      </c>
      <c r="F8" s="6">
        <f>MIN(B8/D$4+G$29,F$4)</f>
        <v>25.2</v>
      </c>
      <c r="G8" s="6">
        <f aca="true" t="shared" si="4" ref="G8:G22">$C$2*F8*$N8</f>
        <v>24.596063175635308</v>
      </c>
      <c r="H8" s="6">
        <f>B8/D$4</f>
        <v>15.845972997151355</v>
      </c>
      <c r="I8" s="2">
        <f>B8*B8/D$4</f>
        <v>107343.05274680734</v>
      </c>
      <c r="J8" s="9">
        <f aca="true" t="shared" si="5" ref="J8:J22">F8/D8</f>
        <v>1.277429582276232</v>
      </c>
      <c r="K8">
        <f aca="true" t="shared" si="6" ref="K8:K22">ROUND(A8+K$6,0)</f>
        <v>7278</v>
      </c>
      <c r="L8" s="6">
        <f aca="true" t="shared" si="7" ref="L8:L22">L$5*(EXP(LN(K$6/K8)*3.5))</f>
        <v>135.4830691256441</v>
      </c>
      <c r="M8" s="8">
        <f>M$4/SQRT(K8)</f>
        <v>7.400340893643141</v>
      </c>
      <c r="N8" s="7">
        <f aca="true" t="shared" si="8" ref="N8:N22">O$5*EXP(LN(K$6/K8)*3)</f>
        <v>0.019520685060028024</v>
      </c>
      <c r="P8" s="6">
        <f aca="true" t="shared" si="9" ref="P8:P22">SQRT(B8*B8+P$23)</f>
        <v>23640.836597913793</v>
      </c>
      <c r="R8" s="8">
        <f aca="true" t="shared" si="10" ref="R8:R22">$C$2*21*$N8</f>
        <v>20.496719313029423</v>
      </c>
      <c r="S8" s="10">
        <f aca="true" t="shared" si="11" ref="S8:S22">N8/N$18</f>
        <v>0.8077343267828553</v>
      </c>
      <c r="T8" s="10">
        <f aca="true" t="shared" si="12" ref="T8:T22">E8/E$18</f>
        <v>0.8750554791332146</v>
      </c>
      <c r="U8" s="10">
        <f aca="true" t="shared" si="13" ref="U8:U22">F8/F$18</f>
        <v>1</v>
      </c>
      <c r="V8">
        <f aca="true" t="shared" si="14" ref="V8:V22">A8</f>
        <v>900</v>
      </c>
    </row>
    <row r="9" spans="1:22" ht="12.75">
      <c r="A9">
        <f t="shared" si="0"/>
        <v>850</v>
      </c>
      <c r="B9" s="2">
        <f t="shared" si="1"/>
        <v>6939.588303288957</v>
      </c>
      <c r="C9" s="2">
        <f t="shared" si="2"/>
        <v>15314.17980286279</v>
      </c>
      <c r="D9" s="6">
        <f>(C9-B9)/D$4</f>
        <v>19.589687718301366</v>
      </c>
      <c r="E9" s="6">
        <f t="shared" si="3"/>
        <v>19.5197519307785</v>
      </c>
      <c r="F9" s="6">
        <f>MIN(B9/D$4+G$29,F$4)</f>
        <v>25.2</v>
      </c>
      <c r="G9" s="6">
        <f t="shared" si="4"/>
        <v>25.11003522511848</v>
      </c>
      <c r="H9" s="6">
        <f>B9/D$4</f>
        <v>16.232955095412763</v>
      </c>
      <c r="I9" s="2">
        <f>B9*B9/D$4</f>
        <v>112650.02530794128</v>
      </c>
      <c r="J9" s="9">
        <f t="shared" si="5"/>
        <v>1.2863911034404742</v>
      </c>
      <c r="K9">
        <f t="shared" si="6"/>
        <v>7228</v>
      </c>
      <c r="L9" s="6">
        <f t="shared" si="7"/>
        <v>138.79176606577914</v>
      </c>
      <c r="M9" s="8">
        <f>M$4/SQRT(K9)</f>
        <v>7.42589286834158</v>
      </c>
      <c r="N9" s="7">
        <f t="shared" si="8"/>
        <v>0.019928599385014668</v>
      </c>
      <c r="P9" s="6">
        <f t="shared" si="9"/>
        <v>23688.771302436624</v>
      </c>
      <c r="R9" s="8">
        <f t="shared" si="10"/>
        <v>20.9250293542654</v>
      </c>
      <c r="S9" s="10">
        <f t="shared" si="11"/>
        <v>0.8246131607820191</v>
      </c>
      <c r="T9" s="10">
        <f t="shared" si="12"/>
        <v>0.8871177150622174</v>
      </c>
      <c r="U9" s="10">
        <f t="shared" si="13"/>
        <v>1</v>
      </c>
      <c r="V9">
        <f t="shared" si="14"/>
        <v>850</v>
      </c>
    </row>
    <row r="10" spans="1:22" ht="12.75">
      <c r="A10">
        <f t="shared" si="0"/>
        <v>800</v>
      </c>
      <c r="B10" s="2">
        <f t="shared" si="1"/>
        <v>7110.254092244341</v>
      </c>
      <c r="C10" s="2">
        <f t="shared" si="2"/>
        <v>15424.791250052682</v>
      </c>
      <c r="D10" s="6">
        <f>(C10-B10)/D$4</f>
        <v>19.44920972586746</v>
      </c>
      <c r="E10" s="6">
        <f t="shared" si="3"/>
        <v>19.787585768474806</v>
      </c>
      <c r="F10" s="6">
        <f>MIN(B10/D$4+G$29,F$4)</f>
        <v>25.2</v>
      </c>
      <c r="G10" s="6">
        <f t="shared" si="4"/>
        <v>25.638427904983928</v>
      </c>
      <c r="H10" s="6">
        <f>B10/D$4</f>
        <v>16.63217331519144</v>
      </c>
      <c r="I10" s="2">
        <f>B10*B10/D$4</f>
        <v>118258.97837725707</v>
      </c>
      <c r="J10" s="9">
        <f t="shared" si="5"/>
        <v>1.2956824650044256</v>
      </c>
      <c r="K10">
        <f t="shared" si="6"/>
        <v>7178</v>
      </c>
      <c r="L10" s="6">
        <f t="shared" si="7"/>
        <v>142.20508184488682</v>
      </c>
      <c r="M10" s="8">
        <f>M$4/SQRT(K10)</f>
        <v>7.451711362434347</v>
      </c>
      <c r="N10" s="7">
        <f t="shared" si="8"/>
        <v>0.02034795865474915</v>
      </c>
      <c r="P10" s="6">
        <f t="shared" si="9"/>
        <v>23739.328407861023</v>
      </c>
      <c r="R10" s="8">
        <f t="shared" si="10"/>
        <v>21.36535658748661</v>
      </c>
      <c r="S10" s="10">
        <f t="shared" si="11"/>
        <v>0.8419655680555088</v>
      </c>
      <c r="T10" s="10">
        <f t="shared" si="12"/>
        <v>0.8992900081813141</v>
      </c>
      <c r="U10" s="10">
        <f t="shared" si="13"/>
        <v>1</v>
      </c>
      <c r="V10">
        <f t="shared" si="14"/>
        <v>800</v>
      </c>
    </row>
    <row r="11" spans="1:22" ht="12.75">
      <c r="A11">
        <f t="shared" si="0"/>
        <v>750</v>
      </c>
      <c r="B11" s="2">
        <f t="shared" si="1"/>
        <v>7286.3544058173975</v>
      </c>
      <c r="C11" s="2">
        <f t="shared" si="2"/>
        <v>15539.510256912932</v>
      </c>
      <c r="D11" s="6">
        <f>(C11-B11)/D$4</f>
        <v>19.305627721860898</v>
      </c>
      <c r="E11" s="6">
        <f t="shared" si="3"/>
        <v>20.057743213396957</v>
      </c>
      <c r="F11" s="6">
        <f>MIN(B11/D$4+G$29,F$4)</f>
        <v>25.2</v>
      </c>
      <c r="G11" s="6">
        <f t="shared" si="4"/>
        <v>26.18175053718905</v>
      </c>
      <c r="H11" s="6">
        <f>B11/D$4</f>
        <v>17.044103873257068</v>
      </c>
      <c r="I11" s="2">
        <f>B11*B11/D$4</f>
        <v>124189.381350116</v>
      </c>
      <c r="J11" s="9">
        <f t="shared" si="5"/>
        <v>1.3053188615806859</v>
      </c>
      <c r="K11">
        <f t="shared" si="6"/>
        <v>7128</v>
      </c>
      <c r="L11" s="6">
        <f t="shared" si="7"/>
        <v>145.72708811634794</v>
      </c>
      <c r="M11" s="8">
        <f>M$4/SQRT(K11)</f>
        <v>7.477801041583576</v>
      </c>
      <c r="N11" s="7">
        <f t="shared" si="8"/>
        <v>0.020779167093007183</v>
      </c>
      <c r="P11" s="6">
        <f t="shared" si="9"/>
        <v>23792.666108008467</v>
      </c>
      <c r="R11" s="8">
        <f t="shared" si="10"/>
        <v>21.818125447657543</v>
      </c>
      <c r="S11" s="10">
        <f t="shared" si="11"/>
        <v>0.8598082747283728</v>
      </c>
      <c r="T11" s="10">
        <f t="shared" si="12"/>
        <v>0.9115679027004802</v>
      </c>
      <c r="U11" s="10">
        <f t="shared" si="13"/>
        <v>1</v>
      </c>
      <c r="V11">
        <f t="shared" si="14"/>
        <v>750</v>
      </c>
    </row>
    <row r="12" spans="1:22" ht="12.75">
      <c r="A12">
        <f t="shared" si="0"/>
        <v>700</v>
      </c>
      <c r="B12" s="2">
        <f t="shared" si="1"/>
        <v>7468.102257114767</v>
      </c>
      <c r="C12" s="2">
        <f t="shared" si="2"/>
        <v>15658.527546022457</v>
      </c>
      <c r="D12" s="6">
        <f>(C12-B12)/D$4</f>
        <v>19.15888956469635</v>
      </c>
      <c r="E12" s="6">
        <f t="shared" si="3"/>
        <v>20.33011671919411</v>
      </c>
      <c r="F12" s="6">
        <f>MIN(B12/D$4+G$29,F$4)</f>
        <v>25.2</v>
      </c>
      <c r="G12" s="6">
        <f t="shared" si="4"/>
        <v>26.740534183553624</v>
      </c>
      <c r="H12" s="6">
        <f>B12/D$4</f>
        <v>17.469245045882495</v>
      </c>
      <c r="I12" s="2">
        <f>B12*B12/D$4</f>
        <v>130462.108357246</v>
      </c>
      <c r="J12" s="9">
        <f t="shared" si="5"/>
        <v>1.3153163138658865</v>
      </c>
      <c r="K12">
        <f t="shared" si="6"/>
        <v>7078</v>
      </c>
      <c r="L12" s="6">
        <f t="shared" si="7"/>
        <v>149.36204514229533</v>
      </c>
      <c r="M12" s="8">
        <f>M$4/SQRT(K12)</f>
        <v>7.504166686605251</v>
      </c>
      <c r="N12" s="7">
        <f t="shared" si="8"/>
        <v>0.02122264617742351</v>
      </c>
      <c r="P12" s="6">
        <f t="shared" si="9"/>
        <v>23848.952834930147</v>
      </c>
      <c r="R12" s="8">
        <f t="shared" si="10"/>
        <v>22.283778486294686</v>
      </c>
      <c r="S12" s="10">
        <f t="shared" si="11"/>
        <v>0.8781587208623972</v>
      </c>
      <c r="T12" s="10">
        <f t="shared" si="12"/>
        <v>0.9239465109411545</v>
      </c>
      <c r="U12" s="10">
        <f t="shared" si="13"/>
        <v>1</v>
      </c>
      <c r="V12">
        <f t="shared" si="14"/>
        <v>700</v>
      </c>
    </row>
    <row r="13" spans="1:22" ht="12.75">
      <c r="A13">
        <f t="shared" si="0"/>
        <v>650</v>
      </c>
      <c r="B13" s="2">
        <f t="shared" si="1"/>
        <v>7655.7205973398695</v>
      </c>
      <c r="C13" s="2">
        <f t="shared" si="2"/>
        <v>15782.044271912671</v>
      </c>
      <c r="D13" s="6">
        <f>(C13-B13)/D$4</f>
        <v>19.00894426800655</v>
      </c>
      <c r="E13" s="6">
        <f t="shared" si="3"/>
        <v>20.60458879534587</v>
      </c>
      <c r="F13" s="6">
        <f>MIN(B13/D$4+G$29,F$4)</f>
        <v>25.2</v>
      </c>
      <c r="G13" s="6">
        <f t="shared" si="4"/>
        <v>27.31533273610716</v>
      </c>
      <c r="H13" s="6">
        <f>B13/D$4</f>
        <v>17.90811835635057</v>
      </c>
      <c r="I13" s="2">
        <f>B13*B13/D$4</f>
        <v>137099.55056031328</v>
      </c>
      <c r="J13" s="9">
        <f t="shared" si="5"/>
        <v>1.3256917188406643</v>
      </c>
      <c r="K13">
        <f t="shared" si="6"/>
        <v>7028</v>
      </c>
      <c r="L13" s="6">
        <f t="shared" si="7"/>
        <v>153.1144119467974</v>
      </c>
      <c r="M13" s="8">
        <f>M$4/SQRT(K13)</f>
        <v>7.5308131971493335</v>
      </c>
      <c r="N13" s="7">
        <f t="shared" si="8"/>
        <v>0.021678835504846953</v>
      </c>
      <c r="P13" s="6">
        <f t="shared" si="9"/>
        <v>23908.367946485472</v>
      </c>
      <c r="R13" s="8">
        <f t="shared" si="10"/>
        <v>22.7627772800893</v>
      </c>
      <c r="S13" s="10">
        <f t="shared" si="11"/>
        <v>0.8970350962630959</v>
      </c>
      <c r="T13" s="10">
        <f t="shared" si="12"/>
        <v>0.9364204932902951</v>
      </c>
      <c r="U13" s="10">
        <f t="shared" si="13"/>
        <v>1</v>
      </c>
      <c r="V13">
        <f t="shared" si="14"/>
        <v>650</v>
      </c>
    </row>
    <row r="14" spans="1:22" ht="12.75">
      <c r="A14">
        <f t="shared" si="0"/>
        <v>600</v>
      </c>
      <c r="B14" s="2">
        <f t="shared" si="1"/>
        <v>7849.442854647689</v>
      </c>
      <c r="C14" s="2">
        <f t="shared" si="2"/>
        <v>15910.272657121117</v>
      </c>
      <c r="D14" s="6">
        <f>(C14-B14)/D$4</f>
        <v>18.855742228008015</v>
      </c>
      <c r="E14" s="6">
        <f t="shared" si="3"/>
        <v>20.881031567433226</v>
      </c>
      <c r="F14" s="6">
        <f>MIN(B14/D$4+G$29,F$4)</f>
        <v>25.2</v>
      </c>
      <c r="G14" s="6">
        <f t="shared" si="4"/>
        <v>27.906724070384527</v>
      </c>
      <c r="H14" s="6">
        <f>B14/D$4</f>
        <v>18.361269835433188</v>
      </c>
      <c r="I14" s="2">
        <f>B14*B14/D$4</f>
        <v>144125.7383119992</v>
      </c>
      <c r="J14" s="9">
        <f t="shared" si="5"/>
        <v>1.336462903198174</v>
      </c>
      <c r="K14">
        <f t="shared" si="6"/>
        <v>6978</v>
      </c>
      <c r="L14" s="6">
        <f t="shared" si="7"/>
        <v>156.9888570929538</v>
      </c>
      <c r="M14" s="8">
        <f>M$4/SQRT(K14)</f>
        <v>7.55774559552466</v>
      </c>
      <c r="N14" s="7">
        <f t="shared" si="8"/>
        <v>0.022148193706654388</v>
      </c>
      <c r="P14" s="6">
        <f t="shared" si="9"/>
        <v>23971.102459594546</v>
      </c>
      <c r="R14" s="8">
        <f t="shared" si="10"/>
        <v>23.25560339198711</v>
      </c>
      <c r="S14" s="10">
        <f t="shared" si="11"/>
        <v>0.9164563783539199</v>
      </c>
      <c r="T14" s="10">
        <f t="shared" si="12"/>
        <v>0.9489840382159309</v>
      </c>
      <c r="U14" s="10">
        <f t="shared" si="13"/>
        <v>1</v>
      </c>
      <c r="V14">
        <f t="shared" si="14"/>
        <v>600</v>
      </c>
    </row>
    <row r="15" spans="1:22" ht="12.75">
      <c r="A15">
        <f t="shared" si="0"/>
        <v>550</v>
      </c>
      <c r="B15" s="2">
        <f t="shared" si="1"/>
        <v>8049.51350635331</v>
      </c>
      <c r="C15" s="16">
        <f t="shared" si="2"/>
        <v>16043.436669134193</v>
      </c>
      <c r="D15" s="13">
        <f>(C15-B15)/D$4</f>
        <v>18.699235468493292</v>
      </c>
      <c r="E15" s="13">
        <f t="shared" si="3"/>
        <v>21.159306341918622</v>
      </c>
      <c r="F15" s="13">
        <f>MIN(B15/D$4+G$29,F$4)</f>
        <v>25.2</v>
      </c>
      <c r="G15" s="13">
        <f t="shared" si="4"/>
        <v>28.515311265788</v>
      </c>
      <c r="H15" s="13">
        <f>B15/D$4</f>
        <v>18.829271359890782</v>
      </c>
      <c r="I15" s="2">
        <f>B15*B15/D$4</f>
        <v>151566.4741262324</v>
      </c>
      <c r="J15" s="9">
        <f t="shared" si="5"/>
        <v>1.3476486802072722</v>
      </c>
      <c r="K15">
        <f t="shared" si="6"/>
        <v>6928</v>
      </c>
      <c r="L15" s="6">
        <f t="shared" si="7"/>
        <v>160.9902701270662</v>
      </c>
      <c r="M15" s="8">
        <f>M$4/SQRT(K15)</f>
        <v>7.584969030675396</v>
      </c>
      <c r="N15" s="7">
        <f t="shared" si="8"/>
        <v>0.022631199417292063</v>
      </c>
      <c r="P15" s="6">
        <f t="shared" si="9"/>
        <v>24037.359831915077</v>
      </c>
      <c r="R15" s="8">
        <f t="shared" si="10"/>
        <v>23.762759388156667</v>
      </c>
      <c r="S15" s="10">
        <f t="shared" si="11"/>
        <v>0.9364423722529289</v>
      </c>
      <c r="T15" s="10">
        <f t="shared" si="12"/>
        <v>0.9616308424876434</v>
      </c>
      <c r="U15" s="10">
        <f t="shared" si="13"/>
        <v>1</v>
      </c>
      <c r="V15">
        <f t="shared" si="14"/>
        <v>550</v>
      </c>
    </row>
    <row r="16" spans="1:22" ht="12.75">
      <c r="A16">
        <f t="shared" si="0"/>
        <v>500</v>
      </c>
      <c r="B16" s="2">
        <f t="shared" si="1"/>
        <v>8256.188686818452</v>
      </c>
      <c r="C16" s="2">
        <f t="shared" si="2"/>
        <v>16181.772740815026</v>
      </c>
      <c r="D16" s="6">
        <f>(C16-B16)/D$4</f>
        <v>18.53937790408555</v>
      </c>
      <c r="E16" s="6">
        <f t="shared" si="3"/>
        <v>21.43926317901086</v>
      </c>
      <c r="F16" s="6">
        <f>MIN(B16/D$4+G$29,F$4)</f>
        <v>25.2</v>
      </c>
      <c r="G16" s="6">
        <f t="shared" si="4"/>
        <v>29.14172389743529</v>
      </c>
      <c r="H16" s="6">
        <f>B16/D$4</f>
        <v>19.312722074429125</v>
      </c>
      <c r="I16" s="2">
        <f>B16*B16/D$4</f>
        <v>159449.47750257075</v>
      </c>
      <c r="J16" s="9">
        <f t="shared" si="5"/>
        <v>1.3592689102284623</v>
      </c>
      <c r="K16">
        <f t="shared" si="6"/>
        <v>6878</v>
      </c>
      <c r="L16" s="6">
        <f t="shared" si="7"/>
        <v>165.12377373636903</v>
      </c>
      <c r="M16" s="8">
        <f>M$4/SQRT(K16)</f>
        <v>7.612488782316189</v>
      </c>
      <c r="N16" s="7">
        <f t="shared" si="8"/>
        <v>0.02312835229955182</v>
      </c>
      <c r="P16" s="6">
        <f t="shared" si="9"/>
        <v>24107.3567948116</v>
      </c>
      <c r="R16" s="8">
        <f t="shared" si="10"/>
        <v>24.28476991452941</v>
      </c>
      <c r="S16" s="10">
        <f t="shared" si="11"/>
        <v>0.9570137531970598</v>
      </c>
      <c r="T16" s="10">
        <f t="shared" si="12"/>
        <v>0.9743540917644803</v>
      </c>
      <c r="U16" s="10">
        <f t="shared" si="13"/>
        <v>1</v>
      </c>
      <c r="V16">
        <f t="shared" si="14"/>
        <v>500</v>
      </c>
    </row>
    <row r="17" spans="1:22" ht="12.75">
      <c r="A17">
        <f t="shared" si="0"/>
        <v>450</v>
      </c>
      <c r="B17" s="2">
        <f t="shared" si="1"/>
        <v>8469.736833520656</v>
      </c>
      <c r="C17" s="2">
        <f t="shared" si="2"/>
        <v>16325.530537061026</v>
      </c>
      <c r="D17" s="6">
        <f>(C17-B17)/D$4</f>
        <v>18.376125622316653</v>
      </c>
      <c r="E17" s="6">
        <f t="shared" si="3"/>
        <v>21.720740477636383</v>
      </c>
      <c r="F17" s="6">
        <f>MIN(B17/D$4+G$29,F$4)</f>
        <v>25.2</v>
      </c>
      <c r="G17" s="6">
        <f t="shared" si="4"/>
        <v>29.78661940423933</v>
      </c>
      <c r="H17" s="6">
        <f>B17/D$4</f>
        <v>19.81224990297229</v>
      </c>
      <c r="I17" s="2">
        <f>B17*B17/D$4</f>
        <v>167804.54275812046</v>
      </c>
      <c r="J17" s="9">
        <f t="shared" si="5"/>
        <v>1.3713445651131257</v>
      </c>
      <c r="K17">
        <f t="shared" si="6"/>
        <v>6828</v>
      </c>
      <c r="L17" s="6">
        <f t="shared" si="7"/>
        <v>169.39473667041312</v>
      </c>
      <c r="M17" s="8">
        <f>M$4/SQRT(K17)</f>
        <v>7.640310265233565</v>
      </c>
      <c r="N17" s="7">
        <f t="shared" si="8"/>
        <v>0.023640174130348676</v>
      </c>
      <c r="P17" s="6">
        <f t="shared" si="9"/>
        <v>24181.324240601396</v>
      </c>
      <c r="R17" s="8">
        <f t="shared" si="10"/>
        <v>24.82218283686611</v>
      </c>
      <c r="S17" s="10">
        <f t="shared" si="11"/>
        <v>0.9781921114698444</v>
      </c>
      <c r="T17" s="10">
        <f t="shared" si="12"/>
        <v>0.9871464417330692</v>
      </c>
      <c r="U17" s="10">
        <f t="shared" si="13"/>
        <v>1</v>
      </c>
      <c r="V17">
        <f t="shared" si="14"/>
        <v>450</v>
      </c>
    </row>
    <row r="18" spans="1:22" ht="12.75">
      <c r="A18">
        <f t="shared" si="0"/>
        <v>400</v>
      </c>
      <c r="B18" s="2">
        <f t="shared" si="1"/>
        <v>8690.43937400553</v>
      </c>
      <c r="C18" s="2">
        <f t="shared" si="2"/>
        <v>16474.973770590626</v>
      </c>
      <c r="D18" s="6">
        <f>(C18-B18)/D$4</f>
        <v>18.20943718499438</v>
      </c>
      <c r="E18" s="15">
        <f t="shared" si="3"/>
        <v>22.00356457700712</v>
      </c>
      <c r="F18" s="15">
        <f>MIN(B18/D$4+G$29,F$4)</f>
        <v>25.2</v>
      </c>
      <c r="G18" s="15">
        <f t="shared" si="4"/>
        <v>30.4506845383179</v>
      </c>
      <c r="H18" s="6">
        <f>B18/D$4</f>
        <v>20.328513155568487</v>
      </c>
      <c r="I18" s="2">
        <f>B18*B18/D$4</f>
        <v>176663.71114214175</v>
      </c>
      <c r="J18" s="9">
        <f t="shared" si="5"/>
        <v>1.3838977967296127</v>
      </c>
      <c r="K18">
        <f t="shared" si="6"/>
        <v>6778</v>
      </c>
      <c r="L18" s="6">
        <f t="shared" si="7"/>
        <v>173.8087874801106</v>
      </c>
      <c r="M18" s="8">
        <f>M$4/SQRT(K18)</f>
        <v>7.668439033761535</v>
      </c>
      <c r="N18" s="7">
        <f t="shared" si="8"/>
        <v>0.024167209951045952</v>
      </c>
      <c r="P18" s="6">
        <f t="shared" si="9"/>
        <v>24259.50816717572</v>
      </c>
      <c r="R18" s="8">
        <f t="shared" si="10"/>
        <v>25.37557044859825</v>
      </c>
      <c r="S18" s="10">
        <f t="shared" si="11"/>
        <v>1</v>
      </c>
      <c r="T18" s="10">
        <f t="shared" si="12"/>
        <v>1</v>
      </c>
      <c r="U18" s="10">
        <f t="shared" si="13"/>
        <v>1</v>
      </c>
      <c r="V18">
        <f t="shared" si="14"/>
        <v>400</v>
      </c>
    </row>
    <row r="19" spans="1:22" ht="12.75">
      <c r="A19">
        <f t="shared" si="0"/>
        <v>350</v>
      </c>
      <c r="B19" s="2">
        <f t="shared" si="1"/>
        <v>8918.59145663515</v>
      </c>
      <c r="C19" s="2">
        <f t="shared" si="2"/>
        <v>16630.381069920903</v>
      </c>
      <c r="D19" s="6">
        <f>(C19-B19)/D$4</f>
        <v>18.03927394920644</v>
      </c>
      <c r="E19" s="6">
        <f t="shared" si="3"/>
        <v>22.287549379764222</v>
      </c>
      <c r="F19" s="6">
        <f>MIN(B19/D$4+G$29,F$4)</f>
        <v>25.2</v>
      </c>
      <c r="G19" s="6">
        <f t="shared" si="4"/>
        <v>31.134636901213288</v>
      </c>
      <c r="H19" s="6">
        <f>B19/D$4</f>
        <v>20.862202237743038</v>
      </c>
      <c r="I19" s="2">
        <f>B19*B19/D$4</f>
        <v>186061.45864412974</v>
      </c>
      <c r="J19" s="9">
        <f t="shared" si="5"/>
        <v>1.3969520098733554</v>
      </c>
      <c r="K19">
        <f t="shared" si="6"/>
        <v>6728</v>
      </c>
      <c r="L19" s="6">
        <f t="shared" si="7"/>
        <v>178.371829132703</v>
      </c>
      <c r="M19" s="8">
        <f>M$4/SQRT(K19)</f>
        <v>7.696880786439783</v>
      </c>
      <c r="N19" s="7">
        <f t="shared" si="8"/>
        <v>0.02471002928667721</v>
      </c>
      <c r="P19" s="6">
        <f t="shared" si="9"/>
        <v>24342.170683206656</v>
      </c>
      <c r="R19" s="8">
        <f t="shared" si="10"/>
        <v>25.94553075101107</v>
      </c>
      <c r="S19" s="10">
        <f t="shared" si="11"/>
        <v>1.022460984810858</v>
      </c>
      <c r="T19" s="10">
        <f t="shared" si="12"/>
        <v>1.0129063089647692</v>
      </c>
      <c r="U19" s="10">
        <f t="shared" si="13"/>
        <v>1</v>
      </c>
      <c r="V19">
        <f t="shared" si="14"/>
        <v>350</v>
      </c>
    </row>
    <row r="20" spans="1:22" ht="12.75">
      <c r="A20">
        <f t="shared" si="0"/>
        <v>300</v>
      </c>
      <c r="B20" s="2">
        <f t="shared" si="1"/>
        <v>9154.502728276808</v>
      </c>
      <c r="C20" s="2">
        <f t="shared" si="2"/>
        <v>16792.046902767237</v>
      </c>
      <c r="D20" s="6">
        <f>(C20-B20)/D$4</f>
        <v>17.865600408164745</v>
      </c>
      <c r="E20" s="6">
        <f t="shared" si="3"/>
        <v>22.572496002179903</v>
      </c>
      <c r="F20" s="6">
        <f>MIN(B20/D$4+G$29,F$4)</f>
        <v>25.2</v>
      </c>
      <c r="G20" s="6">
        <f t="shared" si="4"/>
        <v>31.839226572815008</v>
      </c>
      <c r="H20" s="6">
        <f>B20/D$4</f>
        <v>21.41404146965335</v>
      </c>
      <c r="I20" s="2">
        <f>B20*B20/D$4</f>
        <v>196034.90105737429</v>
      </c>
      <c r="J20" s="9">
        <f t="shared" si="5"/>
        <v>1.4105319398324483</v>
      </c>
      <c r="K20">
        <f t="shared" si="6"/>
        <v>6678</v>
      </c>
      <c r="L20" s="6">
        <f t="shared" si="7"/>
        <v>183.09005456553615</v>
      </c>
      <c r="M20" s="8">
        <f>M$4/SQRT(K20)</f>
        <v>7.725641370863326</v>
      </c>
      <c r="N20" s="7">
        <f t="shared" si="8"/>
        <v>0.02526922743874207</v>
      </c>
      <c r="P20" s="6">
        <f t="shared" si="9"/>
        <v>24429.591077257668</v>
      </c>
      <c r="R20" s="8">
        <f t="shared" si="10"/>
        <v>26.532688810679172</v>
      </c>
      <c r="S20" s="10">
        <f t="shared" si="11"/>
        <v>1.0455996985141605</v>
      </c>
      <c r="T20" s="10">
        <f t="shared" si="12"/>
        <v>1.0258563299224388</v>
      </c>
      <c r="U20" s="10">
        <f t="shared" si="13"/>
        <v>1</v>
      </c>
      <c r="V20">
        <f t="shared" si="14"/>
        <v>300</v>
      </c>
    </row>
    <row r="21" spans="1:22" ht="12.75">
      <c r="A21">
        <f t="shared" si="0"/>
        <v>250</v>
      </c>
      <c r="B21" s="2">
        <f t="shared" si="1"/>
        <v>9398.498162327785</v>
      </c>
      <c r="C21" s="2">
        <f t="shared" si="2"/>
        <v>16960.2825582742</v>
      </c>
      <c r="D21" s="6">
        <f>(C21-B21)/D$4</f>
        <v>17.688384551921438</v>
      </c>
      <c r="E21" s="6">
        <f t="shared" si="3"/>
        <v>22.858192457412734</v>
      </c>
      <c r="F21" s="6">
        <f>MIN(B21/D$4+G$29,F$4)</f>
        <v>25.2</v>
      </c>
      <c r="G21" s="6">
        <f t="shared" si="4"/>
        <v>32.5652378393271</v>
      </c>
      <c r="H21" s="6">
        <f>B21/D$4</f>
        <v>21.98479102298897</v>
      </c>
      <c r="I21" s="2">
        <f>B21*B21/D$4</f>
        <v>206624.0180287222</v>
      </c>
      <c r="J21" s="9">
        <f t="shared" si="5"/>
        <v>1.424663734895033</v>
      </c>
      <c r="K21">
        <f t="shared" si="6"/>
        <v>6628</v>
      </c>
      <c r="L21" s="6">
        <f t="shared" si="7"/>
        <v>187.9699632465557</v>
      </c>
      <c r="M21" s="8">
        <f>M$4/SQRT(K21)</f>
        <v>7.754726788733036</v>
      </c>
      <c r="N21" s="7">
        <f t="shared" si="8"/>
        <v>0.02584542685660881</v>
      </c>
      <c r="P21" s="6">
        <f t="shared" si="9"/>
        <v>24522.066954220616</v>
      </c>
      <c r="R21" s="8">
        <f t="shared" si="10"/>
        <v>27.13769819943925</v>
      </c>
      <c r="S21" s="10">
        <f t="shared" si="11"/>
        <v>1.0694418970564794</v>
      </c>
      <c r="T21" s="10">
        <f t="shared" si="12"/>
        <v>1.0388404286684836</v>
      </c>
      <c r="U21" s="10">
        <f t="shared" si="13"/>
        <v>1</v>
      </c>
      <c r="V21">
        <f t="shared" si="14"/>
        <v>250</v>
      </c>
    </row>
    <row r="22" spans="1:22" ht="12.75">
      <c r="A22">
        <v>200</v>
      </c>
      <c r="B22" s="2">
        <f t="shared" si="1"/>
        <v>9650.918940745298</v>
      </c>
      <c r="C22" s="2">
        <f t="shared" si="2"/>
        <v>17135.41719167328</v>
      </c>
      <c r="D22" s="6">
        <f>(C22-B22)/D$4</f>
        <v>17.507598247784756</v>
      </c>
      <c r="E22" s="6">
        <f t="shared" si="3"/>
        <v>23.144413378324035</v>
      </c>
      <c r="F22" s="6">
        <f>MIN(B22/D$4+G$29,F$4)</f>
        <v>25.2</v>
      </c>
      <c r="G22" s="6">
        <f t="shared" si="4"/>
        <v>33.31349102710666</v>
      </c>
      <c r="H22" s="6">
        <f>B22/D$4</f>
        <v>22.575248984199522</v>
      </c>
      <c r="I22" s="2">
        <f>B22*B22/D$4</f>
        <v>217871.89801365222</v>
      </c>
      <c r="J22" s="9">
        <f t="shared" si="5"/>
        <v>1.439375044100556</v>
      </c>
      <c r="K22">
        <f t="shared" si="6"/>
        <v>6578</v>
      </c>
      <c r="L22" s="6">
        <f t="shared" si="7"/>
        <v>193.01837881490596</v>
      </c>
      <c r="M22" s="8">
        <f>M$4/SQRT(K22)</f>
        <v>7.784143201116875</v>
      </c>
      <c r="N22" s="7">
        <f t="shared" si="8"/>
        <v>0.02643927859294179</v>
      </c>
      <c r="P22" s="6">
        <f t="shared" si="9"/>
        <v>24619.91544260127</v>
      </c>
      <c r="R22" s="8">
        <f t="shared" si="10"/>
        <v>27.76124252258888</v>
      </c>
      <c r="S22" s="10">
        <f t="shared" si="11"/>
        <v>1.0940145199424438</v>
      </c>
      <c r="T22" s="10">
        <f t="shared" si="12"/>
        <v>1.0518483629015756</v>
      </c>
      <c r="U22" s="10">
        <f t="shared" si="13"/>
        <v>1</v>
      </c>
      <c r="V22">
        <f t="shared" si="14"/>
        <v>200</v>
      </c>
    </row>
    <row r="23" spans="3:18" ht="12.75">
      <c r="C23" s="6"/>
      <c r="D23" s="7"/>
      <c r="E23" s="10"/>
      <c r="I23" s="6"/>
      <c r="J23" s="6"/>
      <c r="K23" s="10"/>
      <c r="L23" s="8"/>
      <c r="M23" s="6"/>
      <c r="O23" t="s">
        <v>25</v>
      </c>
      <c r="P23">
        <f>C1*D4*4</f>
        <v>513000000.00000006</v>
      </c>
      <c r="R23" s="8"/>
    </row>
    <row r="24" spans="1:18" ht="12.75">
      <c r="A24" t="s">
        <v>26</v>
      </c>
      <c r="C24" s="6"/>
      <c r="D24" s="7"/>
      <c r="E24" s="10"/>
      <c r="I24" s="6"/>
      <c r="J24" s="6"/>
      <c r="K24" s="10"/>
      <c r="L24" s="8"/>
      <c r="M24" s="6"/>
      <c r="O24" s="6"/>
      <c r="P24" s="6"/>
      <c r="R24" s="8"/>
    </row>
    <row r="25" spans="1:18" ht="12.75">
      <c r="A25" t="s">
        <v>27</v>
      </c>
      <c r="C25" s="6"/>
      <c r="D25" s="7"/>
      <c r="E25" s="10"/>
      <c r="I25" s="6"/>
      <c r="J25" s="6"/>
      <c r="K25" s="10"/>
      <c r="L25" s="8"/>
      <c r="M25" s="6"/>
      <c r="O25" s="6"/>
      <c r="P25" s="6"/>
      <c r="R25" s="8"/>
    </row>
    <row r="27" spans="1:17" ht="12.75">
      <c r="A27" t="s">
        <v>28</v>
      </c>
      <c r="E27" t="s">
        <v>29</v>
      </c>
      <c r="M27" t="s">
        <v>30</v>
      </c>
      <c r="Q27" t="s">
        <v>31</v>
      </c>
    </row>
    <row r="28" spans="1:18" ht="12.75">
      <c r="A28" t="s">
        <v>32</v>
      </c>
      <c r="E28" t="s">
        <v>33</v>
      </c>
      <c r="R28" t="s">
        <v>34</v>
      </c>
    </row>
    <row r="29" spans="1:18" ht="12.75">
      <c r="A29" t="s">
        <v>35</v>
      </c>
      <c r="E29" t="s">
        <v>36</v>
      </c>
      <c r="G29" s="9">
        <f>SQRT(C1/D4)</f>
        <v>26.490647141300876</v>
      </c>
      <c r="M29" t="s">
        <v>37</v>
      </c>
      <c r="R29" t="s">
        <v>38</v>
      </c>
    </row>
    <row r="30" spans="1:17" ht="12.75">
      <c r="A30" t="s">
        <v>39</v>
      </c>
      <c r="E30" t="s">
        <v>40</v>
      </c>
      <c r="Q30" t="s">
        <v>41</v>
      </c>
    </row>
    <row r="31" spans="1:7" ht="12.75">
      <c r="A31" t="s">
        <v>42</v>
      </c>
      <c r="E31" t="s">
        <v>66</v>
      </c>
      <c r="G31" s="2">
        <f>C1/G29</f>
        <v>11324.751652906125</v>
      </c>
    </row>
    <row r="32" ht="12.75">
      <c r="A32" t="s">
        <v>43</v>
      </c>
    </row>
    <row r="38" spans="1:5" ht="12.75">
      <c r="A38" t="str">
        <f>A1</f>
        <v>Constant power</v>
      </c>
      <c r="C38">
        <f>C1</f>
        <v>300000</v>
      </c>
      <c r="D38" t="str">
        <f>D1</f>
        <v>Watts</v>
      </c>
      <c r="E38" t="s">
        <v>44</v>
      </c>
    </row>
    <row r="39" spans="1:10" ht="12.75">
      <c r="A39" t="str">
        <f>A2</f>
        <v>Tether length</v>
      </c>
      <c r="C39">
        <f>C2</f>
        <v>50</v>
      </c>
      <c r="D39" t="str">
        <f>D2</f>
        <v>Km</v>
      </c>
      <c r="E39" t="e">
        <f>#REF!</f>
        <v>#REF!</v>
      </c>
      <c r="I39">
        <v>0</v>
      </c>
      <c r="J39" t="s">
        <v>65</v>
      </c>
    </row>
    <row r="40" spans="3:10" ht="12.75">
      <c r="C40" t="s">
        <v>28</v>
      </c>
      <c r="D40">
        <v>280</v>
      </c>
      <c r="E40" t="s">
        <v>47</v>
      </c>
      <c r="H40" t="s">
        <v>29</v>
      </c>
      <c r="I40">
        <f>I39+D40</f>
        <v>280</v>
      </c>
      <c r="J40" t="s">
        <v>50</v>
      </c>
    </row>
    <row r="41" spans="1:12" ht="12.75">
      <c r="A41" t="str">
        <f aca="true" t="shared" si="15" ref="A41:A50">A7</f>
        <v>Altitude</v>
      </c>
      <c r="B41" t="str">
        <f aca="true" t="shared" si="16" ref="B41:B50">K7</f>
        <v>Radius</v>
      </c>
      <c r="C41" t="str">
        <f aca="true" t="shared" si="17" ref="C41:C50">E7</f>
        <v>Newtons</v>
      </c>
      <c r="D41" t="s">
        <v>48</v>
      </c>
      <c r="E41" t="s">
        <v>49</v>
      </c>
      <c r="F41" t="s">
        <v>45</v>
      </c>
      <c r="G41" t="s">
        <v>46</v>
      </c>
      <c r="H41" t="str">
        <f aca="true" t="shared" si="18" ref="H41:H50">G7</f>
        <v>Newtons</v>
      </c>
      <c r="I41" t="s">
        <v>48</v>
      </c>
      <c r="J41" t="s">
        <v>49</v>
      </c>
      <c r="K41" t="s">
        <v>45</v>
      </c>
      <c r="L41" t="s">
        <v>46</v>
      </c>
    </row>
    <row r="42" spans="1:12" ht="12.75">
      <c r="A42">
        <f t="shared" si="15"/>
        <v>900</v>
      </c>
      <c r="B42">
        <f t="shared" si="16"/>
        <v>7278</v>
      </c>
      <c r="C42" s="8">
        <f t="shared" si="17"/>
        <v>19.25433974357159</v>
      </c>
      <c r="D42" s="11">
        <f aca="true" t="shared" si="19" ref="D42:D50">C42/D$40/1000</f>
        <v>6.876549908418425E-05</v>
      </c>
      <c r="H42" s="8">
        <f t="shared" si="18"/>
        <v>24.596063175635308</v>
      </c>
      <c r="I42" s="11">
        <f aca="true" t="shared" si="20" ref="I42:I50">H42/I$40/1000</f>
        <v>8.78430827701261E-05</v>
      </c>
      <c r="J42">
        <f aca="true" t="shared" si="21" ref="J42:J49">E43</f>
        <v>26</v>
      </c>
      <c r="K42" s="2">
        <f aca="true" t="shared" si="22" ref="K42:K49">J42/I42</f>
        <v>295982.3264404166</v>
      </c>
      <c r="L42" s="9">
        <f aca="true" t="shared" si="23" ref="L42:L49">K42/3600</f>
        <v>82.21731290011573</v>
      </c>
    </row>
    <row r="43" spans="1:12" ht="12.75">
      <c r="A43">
        <f t="shared" si="15"/>
        <v>850</v>
      </c>
      <c r="B43">
        <f t="shared" si="16"/>
        <v>7228</v>
      </c>
      <c r="C43" s="8">
        <f t="shared" si="17"/>
        <v>19.5197519307785</v>
      </c>
      <c r="D43" s="11">
        <f t="shared" si="19"/>
        <v>6.971339975278036E-05</v>
      </c>
      <c r="E43">
        <f aca="true" t="shared" si="24" ref="E43:E50">ROUND(1000*(M9-M8),)</f>
        <v>26</v>
      </c>
      <c r="F43" s="2">
        <f aca="true" t="shared" si="25" ref="F43:F50">E43/D43</f>
        <v>372955.5593645116</v>
      </c>
      <c r="G43" s="9">
        <f aca="true" t="shared" si="26" ref="G43:G50">F43/3600</f>
        <v>103.5987664901421</v>
      </c>
      <c r="H43" s="8">
        <f t="shared" si="18"/>
        <v>25.11003522511848</v>
      </c>
      <c r="I43" s="11">
        <f t="shared" si="20"/>
        <v>8.9678697232566E-05</v>
      </c>
      <c r="J43">
        <f t="shared" si="21"/>
        <v>26</v>
      </c>
      <c r="K43" s="2">
        <f t="shared" si="22"/>
        <v>289923.926220444</v>
      </c>
      <c r="L43" s="9">
        <f t="shared" si="23"/>
        <v>80.53442395012333</v>
      </c>
    </row>
    <row r="44" spans="1:12" ht="12.75">
      <c r="A44">
        <f t="shared" si="15"/>
        <v>800</v>
      </c>
      <c r="B44">
        <f t="shared" si="16"/>
        <v>7178</v>
      </c>
      <c r="C44" s="8">
        <f t="shared" si="17"/>
        <v>19.787585768474806</v>
      </c>
      <c r="D44" s="11">
        <f t="shared" si="19"/>
        <v>7.06699491731243E-05</v>
      </c>
      <c r="E44">
        <f t="shared" si="24"/>
        <v>26</v>
      </c>
      <c r="F44" s="2">
        <f t="shared" si="25"/>
        <v>367907.43879419356</v>
      </c>
      <c r="G44" s="9">
        <f t="shared" si="26"/>
        <v>102.19651077616487</v>
      </c>
      <c r="H44" s="8">
        <f t="shared" si="18"/>
        <v>25.638427904983928</v>
      </c>
      <c r="I44" s="11">
        <f t="shared" si="20"/>
        <v>9.156581394637117E-05</v>
      </c>
      <c r="J44">
        <f t="shared" si="21"/>
        <v>26</v>
      </c>
      <c r="K44" s="2">
        <f t="shared" si="22"/>
        <v>283948.76733392925</v>
      </c>
      <c r="L44" s="9">
        <f t="shared" si="23"/>
        <v>78.87465759275813</v>
      </c>
    </row>
    <row r="45" spans="1:12" ht="12.75">
      <c r="A45">
        <f t="shared" si="15"/>
        <v>750</v>
      </c>
      <c r="B45">
        <f t="shared" si="16"/>
        <v>7128</v>
      </c>
      <c r="C45" s="8">
        <f t="shared" si="17"/>
        <v>20.057743213396957</v>
      </c>
      <c r="D45" s="11">
        <f t="shared" si="19"/>
        <v>7.163479719070342E-05</v>
      </c>
      <c r="E45">
        <f t="shared" si="24"/>
        <v>26</v>
      </c>
      <c r="F45" s="2">
        <f t="shared" si="25"/>
        <v>362952.0989748012</v>
      </c>
      <c r="G45" s="9">
        <f t="shared" si="26"/>
        <v>100.82002749300032</v>
      </c>
      <c r="H45" s="8">
        <f t="shared" si="18"/>
        <v>26.18175053718905</v>
      </c>
      <c r="I45" s="11">
        <f t="shared" si="20"/>
        <v>9.350625191853232E-05</v>
      </c>
      <c r="J45">
        <f t="shared" si="21"/>
        <v>26</v>
      </c>
      <c r="K45" s="2">
        <f t="shared" si="22"/>
        <v>278056.27395537787</v>
      </c>
      <c r="L45" s="9">
        <f t="shared" si="23"/>
        <v>77.23785387649386</v>
      </c>
    </row>
    <row r="46" spans="1:12" ht="12.75">
      <c r="A46">
        <f t="shared" si="15"/>
        <v>700</v>
      </c>
      <c r="B46">
        <f t="shared" si="16"/>
        <v>7078</v>
      </c>
      <c r="C46" s="8">
        <f t="shared" si="17"/>
        <v>20.33011671919411</v>
      </c>
      <c r="D46" s="11">
        <f t="shared" si="19"/>
        <v>7.260755971140753E-05</v>
      </c>
      <c r="E46">
        <f t="shared" si="24"/>
        <v>26</v>
      </c>
      <c r="F46" s="2">
        <f t="shared" si="25"/>
        <v>358089.4345346671</v>
      </c>
      <c r="G46" s="9">
        <f t="shared" si="26"/>
        <v>99.46928737074087</v>
      </c>
      <c r="H46" s="8">
        <f t="shared" si="18"/>
        <v>26.740534183553624</v>
      </c>
      <c r="I46" s="11">
        <f t="shared" si="20"/>
        <v>9.55019077984058E-05</v>
      </c>
      <c r="J46">
        <f t="shared" si="21"/>
        <v>27</v>
      </c>
      <c r="K46" s="2">
        <f t="shared" si="22"/>
        <v>282716.8652692685</v>
      </c>
      <c r="L46" s="9">
        <f t="shared" si="23"/>
        <v>78.53246257479681</v>
      </c>
    </row>
    <row r="47" spans="1:12" ht="12.75">
      <c r="A47">
        <f t="shared" si="15"/>
        <v>650</v>
      </c>
      <c r="B47">
        <f t="shared" si="16"/>
        <v>7028</v>
      </c>
      <c r="C47" s="8">
        <f t="shared" si="17"/>
        <v>20.60458879534587</v>
      </c>
      <c r="D47" s="11">
        <f t="shared" si="19"/>
        <v>7.358781712623524E-05</v>
      </c>
      <c r="E47">
        <f t="shared" si="24"/>
        <v>27</v>
      </c>
      <c r="F47" s="2">
        <f t="shared" si="25"/>
        <v>366908.5597916732</v>
      </c>
      <c r="G47" s="9">
        <f t="shared" si="26"/>
        <v>101.91904438657589</v>
      </c>
      <c r="H47" s="8">
        <f t="shared" si="18"/>
        <v>27.31533273610716</v>
      </c>
      <c r="I47" s="11">
        <f t="shared" si="20"/>
        <v>9.755475977181128E-05</v>
      </c>
      <c r="J47">
        <f t="shared" si="21"/>
        <v>27</v>
      </c>
      <c r="K47" s="2">
        <f t="shared" si="22"/>
        <v>276767.63351327245</v>
      </c>
      <c r="L47" s="9">
        <f t="shared" si="23"/>
        <v>76.87989819813123</v>
      </c>
    </row>
    <row r="48" spans="1:12" ht="12.75">
      <c r="A48">
        <f t="shared" si="15"/>
        <v>600</v>
      </c>
      <c r="B48">
        <f t="shared" si="16"/>
        <v>6978</v>
      </c>
      <c r="C48" s="8">
        <f t="shared" si="17"/>
        <v>20.881031567433226</v>
      </c>
      <c r="D48" s="11">
        <f t="shared" si="19"/>
        <v>7.457511274083296E-05</v>
      </c>
      <c r="E48">
        <f t="shared" si="24"/>
        <v>27</v>
      </c>
      <c r="F48" s="2">
        <f t="shared" si="25"/>
        <v>362051.0785391865</v>
      </c>
      <c r="G48" s="9">
        <f t="shared" si="26"/>
        <v>100.56974403866292</v>
      </c>
      <c r="H48" s="8">
        <f t="shared" si="18"/>
        <v>27.906724070384527</v>
      </c>
      <c r="I48" s="11">
        <f t="shared" si="20"/>
        <v>9.966687167994474E-05</v>
      </c>
      <c r="J48">
        <f t="shared" si="21"/>
        <v>27</v>
      </c>
      <c r="K48" s="2">
        <f t="shared" si="22"/>
        <v>270902.4527899677</v>
      </c>
      <c r="L48" s="9">
        <f t="shared" si="23"/>
        <v>75.25068133054658</v>
      </c>
    </row>
    <row r="49" spans="1:12" ht="12.75">
      <c r="A49">
        <f t="shared" si="15"/>
        <v>550</v>
      </c>
      <c r="B49">
        <f t="shared" si="16"/>
        <v>6928</v>
      </c>
      <c r="C49" s="8">
        <f t="shared" si="17"/>
        <v>21.159306341918622</v>
      </c>
      <c r="D49" s="11">
        <f t="shared" si="19"/>
        <v>7.556895122113794E-05</v>
      </c>
      <c r="E49">
        <f t="shared" si="24"/>
        <v>27</v>
      </c>
      <c r="F49" s="2">
        <f t="shared" si="25"/>
        <v>357289.5953126267</v>
      </c>
      <c r="G49" s="9">
        <f t="shared" si="26"/>
        <v>99.24710980906296</v>
      </c>
      <c r="H49" s="8">
        <f t="shared" si="18"/>
        <v>28.515311265788</v>
      </c>
      <c r="I49" s="11">
        <f t="shared" si="20"/>
        <v>0.00010184039737781429</v>
      </c>
      <c r="J49">
        <f t="shared" si="21"/>
        <v>28</v>
      </c>
      <c r="K49" s="2">
        <f t="shared" si="22"/>
        <v>274940.01124253013</v>
      </c>
      <c r="L49" s="9">
        <f t="shared" si="23"/>
        <v>76.37222534514726</v>
      </c>
    </row>
    <row r="50" spans="1:9" ht="12.75">
      <c r="A50">
        <f t="shared" si="15"/>
        <v>500</v>
      </c>
      <c r="B50">
        <f t="shared" si="16"/>
        <v>6878</v>
      </c>
      <c r="C50" s="8">
        <f t="shared" si="17"/>
        <v>21.43926317901086</v>
      </c>
      <c r="D50" s="11">
        <f t="shared" si="19"/>
        <v>7.656879706789593E-05</v>
      </c>
      <c r="E50">
        <f t="shared" si="24"/>
        <v>28</v>
      </c>
      <c r="F50" s="2">
        <f t="shared" si="25"/>
        <v>365684.2091324947</v>
      </c>
      <c r="G50" s="9">
        <f t="shared" si="26"/>
        <v>101.57894698124852</v>
      </c>
      <c r="H50" s="8">
        <f t="shared" si="18"/>
        <v>29.14172389743529</v>
      </c>
      <c r="I50" s="11">
        <f t="shared" si="20"/>
        <v>0.00010407758534798318</v>
      </c>
    </row>
    <row r="51" spans="3:12" ht="12.75">
      <c r="C51" s="8"/>
      <c r="D51" s="9">
        <f>D40+E51</f>
        <v>280</v>
      </c>
      <c r="E51">
        <v>0</v>
      </c>
      <c r="F51" s="2" t="s">
        <v>57</v>
      </c>
      <c r="G51" s="9" t="s">
        <v>64</v>
      </c>
      <c r="H51" s="8"/>
      <c r="I51" s="6">
        <f>D40</f>
        <v>280</v>
      </c>
      <c r="K51" s="2"/>
      <c r="L51" s="9"/>
    </row>
    <row r="52" spans="1:12" ht="12.75">
      <c r="A52">
        <f aca="true" t="shared" si="27" ref="A52:A58">A16</f>
        <v>500</v>
      </c>
      <c r="B52">
        <f aca="true" t="shared" si="28" ref="B52:B58">K16</f>
        <v>6878</v>
      </c>
      <c r="C52" s="8">
        <f aca="true" t="shared" si="29" ref="C52:C58">E16</f>
        <v>21.43926317901086</v>
      </c>
      <c r="D52" s="11">
        <f aca="true" t="shared" si="30" ref="D52:D58">C52/D$51/1000</f>
        <v>7.656879706789593E-05</v>
      </c>
      <c r="E52">
        <f aca="true" t="shared" si="31" ref="E52:E58">ROUND(1000*(M16-M15),)</f>
        <v>28</v>
      </c>
      <c r="F52" s="2">
        <f aca="true" t="shared" si="32" ref="F52:F58">E52/D52</f>
        <v>365684.2091324947</v>
      </c>
      <c r="G52" s="9">
        <f aca="true" t="shared" si="33" ref="G52:G58">F52/3600</f>
        <v>101.57894698124852</v>
      </c>
      <c r="H52" s="8">
        <f>G18</f>
        <v>30.4506845383179</v>
      </c>
      <c r="I52" s="11">
        <f aca="true" t="shared" si="34" ref="I52:I57">H52/I$51/1000</f>
        <v>0.00010875244477970679</v>
      </c>
      <c r="J52">
        <f aca="true" t="shared" si="35" ref="J52:J58">E52</f>
        <v>28</v>
      </c>
      <c r="K52" s="2">
        <f aca="true" t="shared" si="36" ref="K52:K58">J52/I52</f>
        <v>257465.4763552019</v>
      </c>
      <c r="L52" s="9">
        <f aca="true" t="shared" si="37" ref="L52:L58">K52/3600</f>
        <v>71.51818787644497</v>
      </c>
    </row>
    <row r="53" spans="1:12" ht="12.75">
      <c r="A53">
        <f t="shared" si="27"/>
        <v>450</v>
      </c>
      <c r="B53">
        <f t="shared" si="28"/>
        <v>6828</v>
      </c>
      <c r="C53" s="8">
        <f t="shared" si="29"/>
        <v>21.720740477636383</v>
      </c>
      <c r="D53" s="11">
        <f t="shared" si="30"/>
        <v>7.757407313441565E-05</v>
      </c>
      <c r="E53">
        <f t="shared" si="31"/>
        <v>28</v>
      </c>
      <c r="F53" s="2">
        <f t="shared" si="32"/>
        <v>360945.3373871873</v>
      </c>
      <c r="G53" s="9">
        <f t="shared" si="33"/>
        <v>100.26259371866314</v>
      </c>
      <c r="H53" s="8">
        <f aca="true" t="shared" si="38" ref="H53:H58">G17</f>
        <v>29.78661940423933</v>
      </c>
      <c r="I53" s="11">
        <f t="shared" si="34"/>
        <v>0.00010638078358656904</v>
      </c>
      <c r="J53">
        <f t="shared" si="35"/>
        <v>28</v>
      </c>
      <c r="K53" s="2">
        <f t="shared" si="36"/>
        <v>263205.4310562072</v>
      </c>
      <c r="L53" s="9">
        <f t="shared" si="37"/>
        <v>73.11261973783535</v>
      </c>
    </row>
    <row r="54" spans="1:12" ht="12.75">
      <c r="A54">
        <f t="shared" si="27"/>
        <v>400</v>
      </c>
      <c r="B54">
        <f t="shared" si="28"/>
        <v>6778</v>
      </c>
      <c r="C54" s="8">
        <f t="shared" si="29"/>
        <v>22.00356457700712</v>
      </c>
      <c r="D54" s="11">
        <f t="shared" si="30"/>
        <v>7.858415920359684E-05</v>
      </c>
      <c r="E54">
        <f t="shared" si="31"/>
        <v>28</v>
      </c>
      <c r="F54" s="2">
        <f t="shared" si="32"/>
        <v>356305.9054619041</v>
      </c>
      <c r="G54" s="9">
        <f t="shared" si="33"/>
        <v>98.9738626283067</v>
      </c>
      <c r="H54" s="8">
        <f t="shared" si="38"/>
        <v>30.4506845383179</v>
      </c>
      <c r="I54" s="11">
        <f t="shared" si="34"/>
        <v>0.00010875244477970679</v>
      </c>
      <c r="J54">
        <f t="shared" si="35"/>
        <v>28</v>
      </c>
      <c r="K54" s="2">
        <f t="shared" si="36"/>
        <v>257465.4763552019</v>
      </c>
      <c r="L54" s="9">
        <f t="shared" si="37"/>
        <v>71.51818787644497</v>
      </c>
    </row>
    <row r="55" spans="1:12" ht="12.75">
      <c r="A55">
        <f t="shared" si="27"/>
        <v>350</v>
      </c>
      <c r="B55">
        <f t="shared" si="28"/>
        <v>6728</v>
      </c>
      <c r="C55" s="8">
        <f t="shared" si="29"/>
        <v>22.287549379764222</v>
      </c>
      <c r="D55" s="11">
        <f t="shared" si="30"/>
        <v>7.959839064201508E-05</v>
      </c>
      <c r="E55">
        <f t="shared" si="31"/>
        <v>28</v>
      </c>
      <c r="F55" s="2">
        <f t="shared" si="32"/>
        <v>351765.9059958497</v>
      </c>
      <c r="G55" s="9">
        <f t="shared" si="33"/>
        <v>97.7127516655138</v>
      </c>
      <c r="H55" s="8">
        <f t="shared" si="38"/>
        <v>31.134636901213288</v>
      </c>
      <c r="I55" s="11">
        <f t="shared" si="34"/>
        <v>0.00011119513179004746</v>
      </c>
      <c r="J55">
        <f t="shared" si="35"/>
        <v>28</v>
      </c>
      <c r="K55" s="2">
        <f t="shared" si="36"/>
        <v>251809.58508928306</v>
      </c>
      <c r="L55" s="9">
        <f t="shared" si="37"/>
        <v>69.9471069692453</v>
      </c>
    </row>
    <row r="56" spans="1:12" ht="12.75">
      <c r="A56">
        <f t="shared" si="27"/>
        <v>300</v>
      </c>
      <c r="B56">
        <f t="shared" si="28"/>
        <v>6678</v>
      </c>
      <c r="C56" s="8">
        <f t="shared" si="29"/>
        <v>22.572496002179903</v>
      </c>
      <c r="D56" s="11">
        <f t="shared" si="30"/>
        <v>8.061605715064252E-05</v>
      </c>
      <c r="E56">
        <f t="shared" si="31"/>
        <v>29</v>
      </c>
      <c r="F56" s="2">
        <f t="shared" si="32"/>
        <v>359729.8233751297</v>
      </c>
      <c r="G56" s="9">
        <f t="shared" si="33"/>
        <v>99.92495093753604</v>
      </c>
      <c r="H56" s="8">
        <f t="shared" si="38"/>
        <v>31.839226572815008</v>
      </c>
      <c r="I56" s="11">
        <f t="shared" si="34"/>
        <v>0.00011371152347433931</v>
      </c>
      <c r="J56">
        <f t="shared" si="35"/>
        <v>29</v>
      </c>
      <c r="K56" s="2">
        <f t="shared" si="36"/>
        <v>255031.3206079266</v>
      </c>
      <c r="L56" s="9">
        <f t="shared" si="37"/>
        <v>70.84203350220183</v>
      </c>
    </row>
    <row r="57" spans="1:12" ht="12.75">
      <c r="A57">
        <f t="shared" si="27"/>
        <v>250</v>
      </c>
      <c r="B57">
        <f t="shared" si="28"/>
        <v>6628</v>
      </c>
      <c r="C57" s="8">
        <f t="shared" si="29"/>
        <v>22.858192457412734</v>
      </c>
      <c r="D57" s="11">
        <f t="shared" si="30"/>
        <v>8.163640163361691E-05</v>
      </c>
      <c r="E57">
        <f t="shared" si="31"/>
        <v>29</v>
      </c>
      <c r="F57" s="2">
        <f t="shared" si="32"/>
        <v>355233.68766486814</v>
      </c>
      <c r="G57" s="9">
        <f t="shared" si="33"/>
        <v>98.67602435135225</v>
      </c>
      <c r="H57" s="8">
        <f t="shared" si="38"/>
        <v>32.5652378393271</v>
      </c>
      <c r="I57" s="11">
        <f t="shared" si="34"/>
        <v>0.00011630442085473964</v>
      </c>
      <c r="J57">
        <f t="shared" si="35"/>
        <v>29</v>
      </c>
      <c r="K57" s="2">
        <f t="shared" si="36"/>
        <v>249345.63782592613</v>
      </c>
      <c r="L57" s="9">
        <f t="shared" si="37"/>
        <v>69.26267717386837</v>
      </c>
    </row>
    <row r="58" spans="1:12" ht="12.75">
      <c r="A58">
        <f t="shared" si="27"/>
        <v>200</v>
      </c>
      <c r="B58">
        <f t="shared" si="28"/>
        <v>6578</v>
      </c>
      <c r="C58" s="8">
        <f t="shared" si="29"/>
        <v>23.144413378324035</v>
      </c>
      <c r="D58" s="11">
        <f t="shared" si="30"/>
        <v>8.265861920830013E-05</v>
      </c>
      <c r="E58">
        <f t="shared" si="31"/>
        <v>29</v>
      </c>
      <c r="F58" s="2">
        <f t="shared" si="32"/>
        <v>350840.6053447355</v>
      </c>
      <c r="G58" s="9">
        <f t="shared" si="33"/>
        <v>97.45572370687097</v>
      </c>
      <c r="H58" s="8">
        <f t="shared" si="38"/>
        <v>33.31349102710666</v>
      </c>
      <c r="I58" s="11">
        <f>H58/I$40/1000</f>
        <v>0.00011897675366823807</v>
      </c>
      <c r="J58">
        <f t="shared" si="35"/>
        <v>29</v>
      </c>
      <c r="K58" s="2">
        <f t="shared" si="36"/>
        <v>243745.0939438585</v>
      </c>
      <c r="L58" s="9">
        <f t="shared" si="37"/>
        <v>67.7069705399607</v>
      </c>
    </row>
    <row r="59" spans="1:9" ht="12.75">
      <c r="A59" t="s">
        <v>61</v>
      </c>
      <c r="C59" t="s">
        <v>56</v>
      </c>
      <c r="D59" t="s">
        <v>53</v>
      </c>
      <c r="E59" t="s">
        <v>54</v>
      </c>
      <c r="G59" t="s">
        <v>51</v>
      </c>
      <c r="H59" t="s">
        <v>52</v>
      </c>
      <c r="I59" s="12">
        <v>0.4</v>
      </c>
    </row>
    <row r="60" spans="1:8" ht="12.75">
      <c r="A60">
        <f aca="true" t="shared" si="39" ref="A60:B67">A42</f>
        <v>900</v>
      </c>
      <c r="B60">
        <f t="shared" si="39"/>
        <v>7278</v>
      </c>
      <c r="D60" s="9">
        <f>SUM(G43:G$50)</f>
        <v>809.3994373455985</v>
      </c>
      <c r="E60" s="9">
        <f>SUM(L42:L$50)</f>
        <v>625.8995157681129</v>
      </c>
      <c r="G60" s="9">
        <f aca="true" t="shared" si="40" ref="G60:G74">D60+E60</f>
        <v>1435.2989531137114</v>
      </c>
      <c r="H60" s="9">
        <f aca="true" t="shared" si="41" ref="H60:H74">G60/24/I$59</f>
        <v>149.5103076160116</v>
      </c>
    </row>
    <row r="61" spans="1:8" ht="12.75">
      <c r="A61">
        <f t="shared" si="39"/>
        <v>850</v>
      </c>
      <c r="B61">
        <f t="shared" si="39"/>
        <v>7228</v>
      </c>
      <c r="D61" s="9">
        <f>SUM(G44:G$50)</f>
        <v>705.8006708554562</v>
      </c>
      <c r="E61" s="9">
        <f>SUM(L43:L$50)</f>
        <v>543.6822028679971</v>
      </c>
      <c r="G61" s="9">
        <f t="shared" si="40"/>
        <v>1249.4828737234534</v>
      </c>
      <c r="H61" s="9">
        <f t="shared" si="41"/>
        <v>130.15446601285973</v>
      </c>
    </row>
    <row r="62" spans="1:8" ht="12.75">
      <c r="A62">
        <f t="shared" si="39"/>
        <v>800</v>
      </c>
      <c r="B62">
        <f t="shared" si="39"/>
        <v>7178</v>
      </c>
      <c r="D62" s="9">
        <f>SUM(G45:G$50)</f>
        <v>603.6041600792914</v>
      </c>
      <c r="E62" s="9">
        <f>SUM(L44:L$50)</f>
        <v>463.1477789178739</v>
      </c>
      <c r="G62" s="9">
        <f t="shared" si="40"/>
        <v>1066.7519389971653</v>
      </c>
      <c r="H62" s="9">
        <f t="shared" si="41"/>
        <v>111.11999364553805</v>
      </c>
    </row>
    <row r="63" spans="1:8" ht="12.75">
      <c r="A63">
        <f t="shared" si="39"/>
        <v>750</v>
      </c>
      <c r="B63">
        <f t="shared" si="39"/>
        <v>7128</v>
      </c>
      <c r="D63" s="9">
        <f>SUM(G46:G$50)</f>
        <v>502.78413258629115</v>
      </c>
      <c r="E63" s="9">
        <f>SUM(L45:L$50)</f>
        <v>384.27312132511577</v>
      </c>
      <c r="G63" s="9">
        <f t="shared" si="40"/>
        <v>887.0572539114069</v>
      </c>
      <c r="H63" s="9">
        <f t="shared" si="41"/>
        <v>92.40179728243821</v>
      </c>
    </row>
    <row r="64" spans="1:8" ht="12.75">
      <c r="A64">
        <f t="shared" si="39"/>
        <v>700</v>
      </c>
      <c r="B64">
        <f t="shared" si="39"/>
        <v>7078</v>
      </c>
      <c r="D64" s="9">
        <f>SUM(G47:G$50)</f>
        <v>403.3148452155503</v>
      </c>
      <c r="E64" s="9">
        <f>SUM(L46:L$50)</f>
        <v>307.0352674486219</v>
      </c>
      <c r="G64" s="9">
        <f t="shared" si="40"/>
        <v>710.3501126641722</v>
      </c>
      <c r="H64" s="9">
        <f t="shared" si="41"/>
        <v>73.99480340251795</v>
      </c>
    </row>
    <row r="65" spans="1:8" ht="12.75">
      <c r="A65">
        <f t="shared" si="39"/>
        <v>650</v>
      </c>
      <c r="B65">
        <f t="shared" si="39"/>
        <v>7028</v>
      </c>
      <c r="D65" s="9">
        <f>SUM(G48:G$50)</f>
        <v>301.3958008289744</v>
      </c>
      <c r="E65" s="9">
        <f>SUM(L47:L$50)</f>
        <v>228.50280487382506</v>
      </c>
      <c r="G65" s="9">
        <f t="shared" si="40"/>
        <v>529.8986057027995</v>
      </c>
      <c r="H65" s="9">
        <f t="shared" si="41"/>
        <v>55.197771427374946</v>
      </c>
    </row>
    <row r="66" spans="1:8" ht="12.75">
      <c r="A66">
        <f t="shared" si="39"/>
        <v>600</v>
      </c>
      <c r="B66">
        <f t="shared" si="39"/>
        <v>6978</v>
      </c>
      <c r="D66" s="9">
        <f>SUM(G49:G$50)</f>
        <v>200.8260567903115</v>
      </c>
      <c r="E66" s="9">
        <f>SUM(L48:L$50)</f>
        <v>151.62290667569386</v>
      </c>
      <c r="G66" s="9">
        <f t="shared" si="40"/>
        <v>352.44896346600535</v>
      </c>
      <c r="H66" s="9">
        <f t="shared" si="41"/>
        <v>36.71343369437556</v>
      </c>
    </row>
    <row r="67" spans="1:8" ht="12.75">
      <c r="A67">
        <f t="shared" si="39"/>
        <v>550</v>
      </c>
      <c r="B67">
        <f t="shared" si="39"/>
        <v>6928</v>
      </c>
      <c r="D67" s="9">
        <f>SUM(G$50:G50)</f>
        <v>101.57894698124852</v>
      </c>
      <c r="E67" s="9">
        <f>SUM(L49:L$50)</f>
        <v>76.37222534514726</v>
      </c>
      <c r="G67" s="9">
        <f t="shared" si="40"/>
        <v>177.95117232639578</v>
      </c>
      <c r="H67" s="9">
        <f t="shared" si="41"/>
        <v>18.536580450666225</v>
      </c>
    </row>
    <row r="68" spans="1:8" ht="12.75">
      <c r="A68">
        <f aca="true" t="shared" si="42" ref="A68:B74">A52</f>
        <v>500</v>
      </c>
      <c r="B68">
        <f t="shared" si="42"/>
        <v>6878</v>
      </c>
      <c r="D68" s="9">
        <f>SUM(G$52:G52)</f>
        <v>101.57894698124852</v>
      </c>
      <c r="G68" s="9">
        <f t="shared" si="40"/>
        <v>101.57894698124852</v>
      </c>
      <c r="H68" s="9">
        <f t="shared" si="41"/>
        <v>10.58114031054672</v>
      </c>
    </row>
    <row r="69" spans="1:8" ht="12.75">
      <c r="A69">
        <f t="shared" si="42"/>
        <v>450</v>
      </c>
      <c r="B69">
        <f t="shared" si="42"/>
        <v>6828</v>
      </c>
      <c r="D69" s="9">
        <f>SUM(G$52:G53)</f>
        <v>201.84154069991166</v>
      </c>
      <c r="G69" s="9">
        <f t="shared" si="40"/>
        <v>201.84154069991166</v>
      </c>
      <c r="H69" s="9">
        <f t="shared" si="41"/>
        <v>21.02516048957413</v>
      </c>
    </row>
    <row r="70" spans="1:8" ht="12.75">
      <c r="A70">
        <f t="shared" si="42"/>
        <v>400</v>
      </c>
      <c r="B70">
        <f t="shared" si="42"/>
        <v>6778</v>
      </c>
      <c r="D70" s="9">
        <f>SUM(G$52:G54)</f>
        <v>300.8154033282184</v>
      </c>
      <c r="G70" s="9">
        <f t="shared" si="40"/>
        <v>300.8154033282184</v>
      </c>
      <c r="H70" s="9">
        <f t="shared" si="41"/>
        <v>31.334937846689414</v>
      </c>
    </row>
    <row r="71" spans="1:8" ht="12.75">
      <c r="A71">
        <f t="shared" si="42"/>
        <v>350</v>
      </c>
      <c r="B71">
        <f t="shared" si="42"/>
        <v>6728</v>
      </c>
      <c r="D71" s="9">
        <f>SUM(G$52:G55)</f>
        <v>398.5281549937322</v>
      </c>
      <c r="G71" s="9">
        <f t="shared" si="40"/>
        <v>398.5281549937322</v>
      </c>
      <c r="H71" s="9">
        <f t="shared" si="41"/>
        <v>41.51334947851377</v>
      </c>
    </row>
    <row r="72" spans="1:8" ht="12.75">
      <c r="A72">
        <f t="shared" si="42"/>
        <v>300</v>
      </c>
      <c r="B72">
        <f t="shared" si="42"/>
        <v>6678</v>
      </c>
      <c r="D72" s="9">
        <f>SUM(G$52:G56)</f>
        <v>498.4531059312682</v>
      </c>
      <c r="G72" s="9">
        <f t="shared" si="40"/>
        <v>498.4531059312682</v>
      </c>
      <c r="H72" s="9">
        <f t="shared" si="41"/>
        <v>51.9221985345071</v>
      </c>
    </row>
    <row r="73" spans="1:8" ht="12.75">
      <c r="A73">
        <f t="shared" si="42"/>
        <v>250</v>
      </c>
      <c r="B73">
        <f t="shared" si="42"/>
        <v>6628</v>
      </c>
      <c r="D73" s="9">
        <f>SUM(G$52:G57)</f>
        <v>597.1291302826205</v>
      </c>
      <c r="G73" s="9">
        <f t="shared" si="40"/>
        <v>597.1291302826205</v>
      </c>
      <c r="H73" s="9">
        <f t="shared" si="41"/>
        <v>62.2009510711063</v>
      </c>
    </row>
    <row r="74" spans="1:8" ht="12.75">
      <c r="A74">
        <f t="shared" si="42"/>
        <v>200</v>
      </c>
      <c r="B74">
        <f t="shared" si="42"/>
        <v>6578</v>
      </c>
      <c r="D74" s="9">
        <f>SUM(G$52:G58)</f>
        <v>694.5848539894914</v>
      </c>
      <c r="G74" s="9">
        <f t="shared" si="40"/>
        <v>694.5848539894914</v>
      </c>
      <c r="H74" s="9">
        <f t="shared" si="41"/>
        <v>72.3525889572387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I11" sqref="I11"/>
    </sheetView>
  </sheetViews>
  <sheetFormatPr defaultColWidth="9.140625" defaultRowHeight="12.75"/>
  <cols>
    <col min="12" max="12" width="9.7109375" style="0" customWidth="1"/>
  </cols>
  <sheetData>
    <row r="1" spans="1:9" ht="12.75">
      <c r="A1" t="s">
        <v>71</v>
      </c>
      <c r="I1" s="14">
        <v>37684</v>
      </c>
    </row>
    <row r="3" ht="12.75">
      <c r="A3" t="s">
        <v>72</v>
      </c>
    </row>
    <row r="4" ht="12.75">
      <c r="A4" t="s">
        <v>73</v>
      </c>
    </row>
    <row r="5" spans="3:7" ht="12.75">
      <c r="C5" t="s">
        <v>74</v>
      </c>
      <c r="G5" t="s">
        <v>75</v>
      </c>
    </row>
    <row r="6" spans="1:9" ht="12.75">
      <c r="A6" t="s">
        <v>76</v>
      </c>
      <c r="C6">
        <v>8.9</v>
      </c>
      <c r="G6">
        <v>2.67</v>
      </c>
      <c r="I6" s="8">
        <f>C6/G6</f>
        <v>3.3333333333333335</v>
      </c>
    </row>
    <row r="7" spans="1:9" ht="12.75">
      <c r="A7" t="s">
        <v>77</v>
      </c>
      <c r="C7">
        <v>1.678</v>
      </c>
      <c r="G7">
        <v>2.65</v>
      </c>
      <c r="I7" s="8">
        <f>C7/G7</f>
        <v>0.6332075471698113</v>
      </c>
    </row>
    <row r="8" ht="12.75">
      <c r="C8" t="s">
        <v>78</v>
      </c>
    </row>
    <row r="10" spans="1:12" ht="12.75">
      <c r="A10" t="s">
        <v>79</v>
      </c>
      <c r="B10" s="11">
        <f>SQRT(2)*B12</f>
        <v>4.666904755831213</v>
      </c>
      <c r="D10" t="s">
        <v>80</v>
      </c>
      <c r="F10" t="s">
        <v>81</v>
      </c>
      <c r="I10">
        <v>120</v>
      </c>
      <c r="J10" t="s">
        <v>2</v>
      </c>
      <c r="L10" t="s">
        <v>80</v>
      </c>
    </row>
    <row r="11" spans="2:12" ht="12.75">
      <c r="B11" t="s">
        <v>82</v>
      </c>
      <c r="C11" t="s">
        <v>83</v>
      </c>
      <c r="D11" t="s">
        <v>84</v>
      </c>
      <c r="E11" t="s">
        <v>85</v>
      </c>
      <c r="F11" t="s">
        <v>86</v>
      </c>
      <c r="G11" t="s">
        <v>87</v>
      </c>
      <c r="H11" t="s">
        <v>88</v>
      </c>
      <c r="I11" t="s">
        <v>89</v>
      </c>
      <c r="J11" t="s">
        <v>90</v>
      </c>
      <c r="L11" t="s">
        <v>84</v>
      </c>
    </row>
    <row r="12" spans="1:12" ht="12.75">
      <c r="A12">
        <v>8</v>
      </c>
      <c r="B12">
        <v>3.3</v>
      </c>
      <c r="C12">
        <v>22.6</v>
      </c>
      <c r="D12">
        <v>3.38</v>
      </c>
      <c r="E12">
        <v>50</v>
      </c>
      <c r="F12">
        <f aca="true" t="shared" si="0" ref="F12:F20">0.84*E12</f>
        <v>42</v>
      </c>
      <c r="G12">
        <v>3</v>
      </c>
      <c r="H12">
        <f aca="true" t="shared" si="1" ref="H12:H23">G12*F12</f>
        <v>126</v>
      </c>
      <c r="I12">
        <f aca="true" t="shared" si="2" ref="I12:I23">I$10*G12*C12</f>
        <v>8136.000000000001</v>
      </c>
      <c r="J12">
        <f aca="true" t="shared" si="3" ref="J12:J23">I$10*D12/G12</f>
        <v>135.2</v>
      </c>
      <c r="L12" s="11">
        <f aca="true" t="shared" si="4" ref="L12:L20">G$7/(PI()*B12*B12/4)*0.00000001*1000*1000*1000</f>
        <v>3.098333143754069</v>
      </c>
    </row>
    <row r="13" spans="1:12" ht="12.75">
      <c r="A13">
        <v>9</v>
      </c>
      <c r="B13">
        <v>2.91</v>
      </c>
      <c r="C13">
        <v>17.9</v>
      </c>
      <c r="D13">
        <v>4.26</v>
      </c>
      <c r="E13">
        <v>42</v>
      </c>
      <c r="F13">
        <f t="shared" si="0"/>
        <v>35.28</v>
      </c>
      <c r="G13">
        <v>1</v>
      </c>
      <c r="H13">
        <f t="shared" si="1"/>
        <v>35.28</v>
      </c>
      <c r="I13">
        <f t="shared" si="2"/>
        <v>2148</v>
      </c>
      <c r="J13">
        <f t="shared" si="3"/>
        <v>511.2</v>
      </c>
      <c r="L13" s="11">
        <f t="shared" si="4"/>
        <v>3.98446498452803</v>
      </c>
    </row>
    <row r="14" spans="1:12" ht="12.75">
      <c r="A14">
        <v>10</v>
      </c>
      <c r="B14" s="9">
        <v>2.59</v>
      </c>
      <c r="C14">
        <v>14.2</v>
      </c>
      <c r="D14">
        <v>5.38</v>
      </c>
      <c r="E14">
        <v>35</v>
      </c>
      <c r="F14">
        <f t="shared" si="0"/>
        <v>29.4</v>
      </c>
      <c r="G14">
        <v>1</v>
      </c>
      <c r="H14">
        <f t="shared" si="1"/>
        <v>29.4</v>
      </c>
      <c r="I14">
        <f t="shared" si="2"/>
        <v>1704</v>
      </c>
      <c r="J14">
        <f t="shared" si="3"/>
        <v>645.6</v>
      </c>
      <c r="L14" s="11">
        <f t="shared" si="4"/>
        <v>5.029866569592256</v>
      </c>
    </row>
    <row r="15" spans="1:12" ht="12.75">
      <c r="A15">
        <v>12</v>
      </c>
      <c r="B15" s="8">
        <v>2.053</v>
      </c>
      <c r="C15">
        <v>8.93</v>
      </c>
      <c r="D15">
        <v>8.55</v>
      </c>
      <c r="E15">
        <v>30</v>
      </c>
      <c r="F15">
        <f t="shared" si="0"/>
        <v>25.2</v>
      </c>
      <c r="G15">
        <v>1</v>
      </c>
      <c r="H15">
        <f>G15*F15</f>
        <v>25.2</v>
      </c>
      <c r="I15" s="2">
        <f>I$10*G15*C15</f>
        <v>1071.6</v>
      </c>
      <c r="J15" s="6">
        <f>I$10*D15/G15</f>
        <v>1026</v>
      </c>
      <c r="L15" s="11">
        <f>G$7/(PI()*B15*B15/4)*0.00000001*1000*1000*1000</f>
        <v>8.005308884811107</v>
      </c>
    </row>
    <row r="16" spans="1:12" ht="12.75">
      <c r="A16">
        <v>12</v>
      </c>
      <c r="B16" s="8">
        <v>2.053</v>
      </c>
      <c r="C16">
        <v>8.93</v>
      </c>
      <c r="D16">
        <v>8.55</v>
      </c>
      <c r="E16">
        <v>30</v>
      </c>
      <c r="F16">
        <f t="shared" si="0"/>
        <v>25.2</v>
      </c>
      <c r="G16">
        <v>1</v>
      </c>
      <c r="H16">
        <f t="shared" si="1"/>
        <v>25.2</v>
      </c>
      <c r="I16" s="2">
        <f t="shared" si="2"/>
        <v>1071.6</v>
      </c>
      <c r="J16" s="6">
        <f t="shared" si="3"/>
        <v>1026</v>
      </c>
      <c r="L16" s="11">
        <f t="shared" si="4"/>
        <v>8.005308884811107</v>
      </c>
    </row>
    <row r="17" spans="1:12" ht="12.75">
      <c r="A17">
        <v>14</v>
      </c>
      <c r="B17" s="8">
        <v>1.628</v>
      </c>
      <c r="C17">
        <v>5.62</v>
      </c>
      <c r="D17">
        <v>13.6</v>
      </c>
      <c r="E17">
        <v>20</v>
      </c>
      <c r="F17">
        <f t="shared" si="0"/>
        <v>16.8</v>
      </c>
      <c r="G17">
        <v>1</v>
      </c>
      <c r="H17">
        <f t="shared" si="1"/>
        <v>16.8</v>
      </c>
      <c r="I17" s="2">
        <f t="shared" si="2"/>
        <v>674.4</v>
      </c>
      <c r="J17" s="6">
        <f t="shared" si="3"/>
        <v>1632</v>
      </c>
      <c r="L17" s="11">
        <f t="shared" si="4"/>
        <v>12.730550718492799</v>
      </c>
    </row>
    <row r="18" spans="1:12" ht="12.75">
      <c r="A18">
        <v>16</v>
      </c>
      <c r="B18" s="8">
        <v>1.291</v>
      </c>
      <c r="C18">
        <v>3.53</v>
      </c>
      <c r="D18">
        <v>21.6</v>
      </c>
      <c r="E18">
        <v>10</v>
      </c>
      <c r="F18">
        <f t="shared" si="0"/>
        <v>8.4</v>
      </c>
      <c r="G18">
        <v>1</v>
      </c>
      <c r="H18">
        <f t="shared" si="1"/>
        <v>8.4</v>
      </c>
      <c r="I18" s="2">
        <f t="shared" si="2"/>
        <v>423.59999999999997</v>
      </c>
      <c r="J18" s="6">
        <f t="shared" si="3"/>
        <v>2592</v>
      </c>
      <c r="L18" s="11">
        <f t="shared" si="4"/>
        <v>20.24433466001101</v>
      </c>
    </row>
    <row r="19" spans="1:12" ht="12.75">
      <c r="A19">
        <v>16</v>
      </c>
      <c r="B19" s="8">
        <v>1.291</v>
      </c>
      <c r="C19">
        <v>3.53</v>
      </c>
      <c r="D19">
        <v>21.6</v>
      </c>
      <c r="E19">
        <v>15</v>
      </c>
      <c r="F19">
        <f t="shared" si="0"/>
        <v>12.6</v>
      </c>
      <c r="G19">
        <v>3</v>
      </c>
      <c r="H19">
        <f t="shared" si="1"/>
        <v>37.8</v>
      </c>
      <c r="I19" s="2">
        <f t="shared" si="2"/>
        <v>1270.8</v>
      </c>
      <c r="J19" s="6">
        <f t="shared" si="3"/>
        <v>864</v>
      </c>
      <c r="L19" s="11">
        <f t="shared" si="4"/>
        <v>20.24433466001101</v>
      </c>
    </row>
    <row r="20" spans="1:12" ht="12.75">
      <c r="A20">
        <v>18</v>
      </c>
      <c r="B20">
        <v>1.02</v>
      </c>
      <c r="C20" s="9">
        <v>2.22</v>
      </c>
      <c r="D20" s="6">
        <v>34.4</v>
      </c>
      <c r="E20">
        <v>10</v>
      </c>
      <c r="F20">
        <f t="shared" si="0"/>
        <v>8.4</v>
      </c>
      <c r="G20">
        <v>1</v>
      </c>
      <c r="H20">
        <f t="shared" si="1"/>
        <v>8.4</v>
      </c>
      <c r="I20" s="2">
        <f t="shared" si="2"/>
        <v>266.40000000000003</v>
      </c>
      <c r="J20" s="6">
        <f t="shared" si="3"/>
        <v>4128</v>
      </c>
      <c r="L20" s="11">
        <f t="shared" si="4"/>
        <v>32.43064968808325</v>
      </c>
    </row>
    <row r="21" spans="1:10" ht="12.75">
      <c r="A21">
        <f>A20</f>
        <v>18</v>
      </c>
      <c r="B21">
        <f>B20</f>
        <v>1.02</v>
      </c>
      <c r="C21" s="9">
        <f>C20</f>
        <v>2.22</v>
      </c>
      <c r="D21" s="6">
        <f>D20</f>
        <v>34.4</v>
      </c>
      <c r="E21" s="6"/>
      <c r="F21">
        <f>F20</f>
        <v>8.4</v>
      </c>
      <c r="G21">
        <v>4</v>
      </c>
      <c r="H21">
        <f t="shared" si="1"/>
        <v>33.6</v>
      </c>
      <c r="I21" s="2">
        <f t="shared" si="2"/>
        <v>1065.6000000000001</v>
      </c>
      <c r="J21" s="6">
        <f t="shared" si="3"/>
        <v>1032</v>
      </c>
    </row>
    <row r="22" spans="1:10" ht="12.75">
      <c r="A22">
        <v>20</v>
      </c>
      <c r="B22">
        <v>0.81</v>
      </c>
      <c r="C22" s="9">
        <f>C21/1.59</f>
        <v>1.3962264150943398</v>
      </c>
      <c r="D22" s="6">
        <v>54.6</v>
      </c>
      <c r="E22" s="6"/>
      <c r="F22">
        <f>2/3*F21</f>
        <v>5.6</v>
      </c>
      <c r="G22">
        <v>1</v>
      </c>
      <c r="H22">
        <f t="shared" si="1"/>
        <v>5.6</v>
      </c>
      <c r="I22" s="2">
        <f t="shared" si="2"/>
        <v>167.54716981132077</v>
      </c>
      <c r="J22" s="6">
        <f t="shared" si="3"/>
        <v>6552</v>
      </c>
    </row>
    <row r="23" spans="1:10" ht="12.75">
      <c r="A23">
        <f>A22</f>
        <v>20</v>
      </c>
      <c r="B23">
        <f>B22</f>
        <v>0.81</v>
      </c>
      <c r="C23" s="9">
        <f>C22</f>
        <v>1.3962264150943398</v>
      </c>
      <c r="D23" s="6">
        <f>D22</f>
        <v>54.6</v>
      </c>
      <c r="E23" s="6"/>
      <c r="F23">
        <f>F22</f>
        <v>5.6</v>
      </c>
      <c r="G23">
        <v>7</v>
      </c>
      <c r="H23">
        <f t="shared" si="1"/>
        <v>39.199999999999996</v>
      </c>
      <c r="I23" s="2">
        <f t="shared" si="2"/>
        <v>1172.8301886792453</v>
      </c>
      <c r="J23" s="6">
        <f t="shared" si="3"/>
        <v>936</v>
      </c>
    </row>
    <row r="25" spans="1:9" ht="12.75">
      <c r="A25" t="s">
        <v>91</v>
      </c>
      <c r="B25" t="s">
        <v>92</v>
      </c>
      <c r="C25" t="s">
        <v>93</v>
      </c>
      <c r="D25" t="s">
        <v>94</v>
      </c>
      <c r="F25" t="s">
        <v>95</v>
      </c>
      <c r="H25" t="s">
        <v>96</v>
      </c>
      <c r="I25" t="s">
        <v>97</v>
      </c>
    </row>
    <row r="26" spans="1:9" ht="12.75">
      <c r="A26">
        <v>18</v>
      </c>
      <c r="B26">
        <v>0.02</v>
      </c>
      <c r="C26">
        <f>I$10/H26</f>
        <v>1200</v>
      </c>
      <c r="D26">
        <f>B26*C26</f>
        <v>24</v>
      </c>
      <c r="F26" s="8">
        <f>C20/1000*D26</f>
        <v>0.05328000000000001</v>
      </c>
      <c r="H26">
        <v>0.1</v>
      </c>
      <c r="I26">
        <v>100</v>
      </c>
    </row>
    <row r="27" spans="1:9" ht="12.75">
      <c r="A27">
        <v>18</v>
      </c>
      <c r="B27">
        <v>0.02</v>
      </c>
      <c r="C27">
        <f>I$10/H27</f>
        <v>12000</v>
      </c>
      <c r="D27">
        <f>B27*C27</f>
        <v>240</v>
      </c>
      <c r="F27" s="8">
        <f>C$20/1000*D27</f>
        <v>0.5328</v>
      </c>
      <c r="H27">
        <v>0.01</v>
      </c>
      <c r="I27">
        <v>10</v>
      </c>
    </row>
    <row r="28" spans="1:9" ht="12.75">
      <c r="A28">
        <v>18</v>
      </c>
      <c r="B28">
        <v>0.02</v>
      </c>
      <c r="C28">
        <f>I$10/H28</f>
        <v>120000</v>
      </c>
      <c r="D28">
        <f>B28*C28</f>
        <v>2400</v>
      </c>
      <c r="F28" s="8">
        <f>C$20/1000*D28</f>
        <v>5.328</v>
      </c>
      <c r="H28">
        <f>I28/1000</f>
        <v>0.001</v>
      </c>
      <c r="I28">
        <v>1</v>
      </c>
    </row>
    <row r="29" ht="12.75">
      <c r="D29" t="s">
        <v>80</v>
      </c>
    </row>
    <row r="30" spans="2:9" ht="12.75">
      <c r="B30" t="s">
        <v>82</v>
      </c>
      <c r="C30" t="s">
        <v>83</v>
      </c>
      <c r="D30" t="s">
        <v>98</v>
      </c>
      <c r="F30" t="s">
        <v>99</v>
      </c>
      <c r="G30" t="s">
        <v>100</v>
      </c>
      <c r="H30" t="s">
        <v>101</v>
      </c>
      <c r="I30" t="s">
        <v>102</v>
      </c>
    </row>
    <row r="31" spans="1:9" ht="12.75">
      <c r="A31">
        <v>10</v>
      </c>
      <c r="B31" s="9">
        <v>2.59</v>
      </c>
      <c r="H31" s="8">
        <f>E14/E16</f>
        <v>1.1666666666666667</v>
      </c>
      <c r="I31" s="8">
        <f>B14/B16</f>
        <v>1.2615684364344861</v>
      </c>
    </row>
    <row r="32" spans="1:9" ht="12.75">
      <c r="A32">
        <v>12</v>
      </c>
      <c r="B32" s="8">
        <v>2.053</v>
      </c>
      <c r="C32">
        <v>29.42</v>
      </c>
      <c r="D32">
        <v>4.8</v>
      </c>
      <c r="F32">
        <v>6.3</v>
      </c>
      <c r="G32">
        <f>D32/D16</f>
        <v>0.5614035087719298</v>
      </c>
      <c r="H32" s="8">
        <f>E16/E17</f>
        <v>1.5</v>
      </c>
      <c r="I32" s="8">
        <f>B16/B17</f>
        <v>1.261056511056511</v>
      </c>
    </row>
    <row r="33" spans="1:9" ht="12.75">
      <c r="A33">
        <v>14</v>
      </c>
      <c r="B33" s="8">
        <v>1.628</v>
      </c>
      <c r="C33">
        <v>18.5</v>
      </c>
      <c r="D33">
        <v>7.6</v>
      </c>
      <c r="F33">
        <v>10</v>
      </c>
      <c r="G33">
        <f>D33/D17</f>
        <v>0.5588235294117647</v>
      </c>
      <c r="H33" s="8">
        <f>E17/E19</f>
        <v>1.3333333333333333</v>
      </c>
      <c r="I33" s="8">
        <f>B17/B18</f>
        <v>1.2610379550735864</v>
      </c>
    </row>
    <row r="34" spans="1:7" ht="12.75">
      <c r="A34">
        <v>16</v>
      </c>
      <c r="B34" s="8">
        <v>1.291</v>
      </c>
      <c r="C34">
        <v>11.63</v>
      </c>
      <c r="D34">
        <v>12.18</v>
      </c>
      <c r="F34">
        <v>16.06</v>
      </c>
      <c r="G34">
        <f>D34/D18</f>
        <v>0.5638888888888889</v>
      </c>
    </row>
    <row r="36" ht="12.75">
      <c r="B36" t="s">
        <v>106</v>
      </c>
    </row>
    <row r="38" spans="2:4" ht="12.75">
      <c r="B38" t="s">
        <v>107</v>
      </c>
      <c r="C38" t="s">
        <v>9</v>
      </c>
      <c r="D38" t="s">
        <v>108</v>
      </c>
    </row>
    <row r="39" spans="2:4" ht="12.75">
      <c r="B39">
        <v>2.5</v>
      </c>
      <c r="C39">
        <v>10</v>
      </c>
      <c r="D39" s="9">
        <f>B39*SQRT(B39)</f>
        <v>3.9528470752104745</v>
      </c>
    </row>
    <row r="40" spans="2:4" ht="12.75">
      <c r="B40">
        <v>3</v>
      </c>
      <c r="C40" s="6">
        <f>C$39/D$39*D40</f>
        <v>13.145341380123986</v>
      </c>
      <c r="D40" s="9">
        <f aca="true" t="shared" si="5" ref="D40:D46">B40*SQRT(B40)</f>
        <v>5.196152422706632</v>
      </c>
    </row>
    <row r="41" spans="2:4" ht="12.75">
      <c r="B41">
        <v>4</v>
      </c>
      <c r="C41" s="6">
        <f aca="true" t="shared" si="6" ref="C41:C48">C$39/D$39*D41</f>
        <v>20.238577025077625</v>
      </c>
      <c r="D41" s="9">
        <f t="shared" si="5"/>
        <v>8</v>
      </c>
    </row>
    <row r="42" spans="2:4" ht="12.75">
      <c r="B42">
        <v>5</v>
      </c>
      <c r="C42" s="6">
        <f t="shared" si="6"/>
        <v>28.2842712474619</v>
      </c>
      <c r="D42" s="9">
        <f t="shared" si="5"/>
        <v>11.180339887498949</v>
      </c>
    </row>
    <row r="43" spans="2:4" ht="12.75">
      <c r="B43">
        <v>6</v>
      </c>
      <c r="C43" s="6">
        <f t="shared" si="6"/>
        <v>37.180640123591196</v>
      </c>
      <c r="D43" s="9">
        <f t="shared" si="5"/>
        <v>14.696938456699067</v>
      </c>
    </row>
    <row r="44" spans="2:4" ht="12.75">
      <c r="B44">
        <v>7</v>
      </c>
      <c r="C44" s="6">
        <f t="shared" si="6"/>
        <v>46.85296148590823</v>
      </c>
      <c r="D44" s="9">
        <f t="shared" si="5"/>
        <v>18.520259177452136</v>
      </c>
    </row>
    <row r="45" spans="2:4" ht="12.75">
      <c r="B45">
        <v>8</v>
      </c>
      <c r="C45" s="6">
        <f t="shared" si="6"/>
        <v>57.243340223994615</v>
      </c>
      <c r="D45" s="9">
        <f t="shared" si="5"/>
        <v>22.627416997969522</v>
      </c>
    </row>
    <row r="46" spans="2:4" ht="12.75">
      <c r="B46">
        <v>9</v>
      </c>
      <c r="C46" s="6">
        <f t="shared" si="6"/>
        <v>68.30519745963699</v>
      </c>
      <c r="D46" s="9">
        <f t="shared" si="5"/>
        <v>27</v>
      </c>
    </row>
    <row r="47" spans="2:4" ht="12.75">
      <c r="B47">
        <v>10</v>
      </c>
      <c r="C47" s="6">
        <f t="shared" si="6"/>
        <v>80</v>
      </c>
      <c r="D47" s="9">
        <f>B47*SQRT(B47)</f>
        <v>31.622776601683796</v>
      </c>
    </row>
    <row r="48" spans="2:4" ht="12.75">
      <c r="B48">
        <v>6.3</v>
      </c>
      <c r="C48" s="6">
        <f t="shared" si="6"/>
        <v>40.003759823296605</v>
      </c>
      <c r="D48" s="9">
        <f>B48*SQRT(B48)</f>
        <v>15.812874501494028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Retired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Cate</dc:creator>
  <cp:keywords/>
  <dc:description/>
  <cp:lastModifiedBy>Henry Cate</cp:lastModifiedBy>
  <cp:lastPrinted>2003-11-22T06:54:41Z</cp:lastPrinted>
  <dcterms:created xsi:type="dcterms:W3CDTF">2001-06-09T02:45:26Z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